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rdingborg-my.sharepoint.com/personal/beny_vordingborg_dk/Documents/Havneteam/Rapporter og baggrundsdata/"/>
    </mc:Choice>
  </mc:AlternateContent>
  <xr:revisionPtr revIDLastSave="3204" documentId="8_{445C34D4-FD0E-4317-9CDD-F58F6E1B7964}" xr6:coauthVersionLast="47" xr6:coauthVersionMax="47" xr10:uidLastSave="{EDD64E3E-0C46-486D-A67E-9F89CF438CD0}"/>
  <bookViews>
    <workbookView xWindow="-120" yWindow="-120" windowWidth="29040" windowHeight="17520" tabRatio="715" xr2:uid="{81052B7F-6841-4041-86D6-225CE7B325E4}"/>
  </bookViews>
  <sheets>
    <sheet name="Samlet" sheetId="9" r:id="rId1"/>
    <sheet name="Januar" sheetId="5" r:id="rId2"/>
    <sheet name="Februar" sheetId="6" r:id="rId3"/>
    <sheet name="Marts" sheetId="7" r:id="rId4"/>
    <sheet name="April" sheetId="8" r:id="rId5"/>
    <sheet name="Maj" sheetId="1" r:id="rId6"/>
    <sheet name="Juni" sheetId="2" r:id="rId7"/>
    <sheet name="Juli" sheetId="3" r:id="rId8"/>
    <sheet name="August" sheetId="4" r:id="rId9"/>
    <sheet name="September" sheetId="10" r:id="rId10"/>
    <sheet name="Oktober" sheetId="11" r:id="rId11"/>
    <sheet name="November" sheetId="12" r:id="rId12"/>
    <sheet name="December" sheetId="13" r:id="rId13"/>
    <sheet name="Version 2.0" sheetId="14" r:id="rId14"/>
  </sheets>
  <definedNames>
    <definedName name="_xlnm._FilterDatabase" localSheetId="13" hidden="1">'Version 2.0'!$B$2:$I$130</definedName>
    <definedName name="_xlnm.Print_Area" localSheetId="0">Samlet!$A$1:$N$50</definedName>
  </definedNames>
  <calcPr calcId="191028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1" l="1"/>
  <c r="J26" i="11"/>
  <c r="J25" i="11"/>
  <c r="G26" i="11"/>
  <c r="G25" i="11"/>
  <c r="G24" i="11"/>
  <c r="F26" i="11"/>
  <c r="F25" i="11"/>
  <c r="J26" i="10"/>
  <c r="J25" i="10"/>
  <c r="J24" i="10"/>
  <c r="I26" i="10"/>
  <c r="I25" i="10"/>
  <c r="C26" i="10"/>
  <c r="C25" i="10"/>
  <c r="G26" i="10"/>
  <c r="G25" i="10"/>
  <c r="F26" i="10"/>
  <c r="F25" i="10"/>
  <c r="E26" i="10"/>
  <c r="E25" i="10"/>
  <c r="D26" i="4"/>
  <c r="D25" i="4"/>
  <c r="D24" i="4"/>
  <c r="J27" i="4"/>
  <c r="J26" i="4"/>
  <c r="J25" i="4"/>
  <c r="J24" i="4"/>
  <c r="I27" i="4"/>
  <c r="I26" i="4"/>
  <c r="I25" i="4"/>
  <c r="C26" i="4"/>
  <c r="C25" i="4"/>
  <c r="C24" i="4"/>
  <c r="H26" i="4"/>
  <c r="H25" i="4"/>
  <c r="G27" i="4"/>
  <c r="G26" i="4"/>
  <c r="G25" i="4"/>
  <c r="G24" i="4"/>
  <c r="F26" i="4"/>
  <c r="F25" i="4"/>
  <c r="E27" i="4"/>
  <c r="E26" i="4"/>
  <c r="E25" i="4"/>
  <c r="C27" i="3"/>
  <c r="J27" i="3"/>
  <c r="J26" i="3"/>
  <c r="J25" i="3"/>
  <c r="I27" i="3"/>
  <c r="I26" i="3"/>
  <c r="I25" i="3"/>
  <c r="H27" i="3"/>
  <c r="H26" i="3"/>
  <c r="H25" i="3"/>
  <c r="G27" i="3"/>
  <c r="G26" i="3"/>
  <c r="G25" i="3"/>
  <c r="G24" i="3"/>
  <c r="F26" i="3"/>
  <c r="F25" i="3"/>
  <c r="F24" i="3"/>
  <c r="E26" i="3"/>
  <c r="E25" i="3"/>
  <c r="C26" i="3"/>
  <c r="C25" i="3"/>
  <c r="C24" i="3"/>
  <c r="C27" i="2"/>
  <c r="C28" i="2"/>
  <c r="J26" i="2"/>
  <c r="J25" i="2"/>
  <c r="I26" i="2"/>
  <c r="K26" i="2" s="1"/>
  <c r="I25" i="2"/>
  <c r="H26" i="2"/>
  <c r="H25" i="2"/>
  <c r="G24" i="2"/>
  <c r="G27" i="2"/>
  <c r="G26" i="2"/>
  <c r="G25" i="2"/>
  <c r="F27" i="2"/>
  <c r="F26" i="2"/>
  <c r="F25" i="2"/>
  <c r="E26" i="2"/>
  <c r="E25" i="2"/>
  <c r="C26" i="2"/>
  <c r="C25" i="2"/>
  <c r="C24" i="2"/>
  <c r="D26" i="1"/>
  <c r="D25" i="1"/>
  <c r="D24" i="1"/>
  <c r="D24" i="9" s="1"/>
  <c r="J26" i="1"/>
  <c r="J25" i="1"/>
  <c r="J24" i="1"/>
  <c r="I27" i="1"/>
  <c r="I26" i="1"/>
  <c r="I25" i="1"/>
  <c r="I24" i="1"/>
  <c r="H26" i="1"/>
  <c r="H25" i="1"/>
  <c r="H24" i="1"/>
  <c r="G27" i="1"/>
  <c r="G26" i="1"/>
  <c r="G25" i="1"/>
  <c r="G24" i="1"/>
  <c r="F31" i="1"/>
  <c r="F26" i="1"/>
  <c r="F25" i="1"/>
  <c r="F24" i="1"/>
  <c r="E26" i="1"/>
  <c r="E25" i="1"/>
  <c r="E24" i="1"/>
  <c r="C27" i="1"/>
  <c r="C26" i="1"/>
  <c r="C25" i="1"/>
  <c r="C24" i="1"/>
  <c r="F18" i="12"/>
  <c r="J27" i="9"/>
  <c r="I27" i="9"/>
  <c r="H27" i="9"/>
  <c r="G27" i="9"/>
  <c r="F27" i="9"/>
  <c r="E27" i="9"/>
  <c r="D27" i="9"/>
  <c r="C27" i="9"/>
  <c r="J26" i="9"/>
  <c r="I26" i="9"/>
  <c r="H26" i="9"/>
  <c r="G26" i="9"/>
  <c r="F26" i="9"/>
  <c r="E26" i="9"/>
  <c r="D26" i="9"/>
  <c r="C26" i="9"/>
  <c r="J25" i="9"/>
  <c r="I25" i="9"/>
  <c r="H25" i="9"/>
  <c r="G25" i="9"/>
  <c r="F25" i="9"/>
  <c r="E25" i="9"/>
  <c r="D25" i="9"/>
  <c r="C25" i="9"/>
  <c r="J24" i="9"/>
  <c r="I24" i="9"/>
  <c r="H24" i="9"/>
  <c r="G24" i="9"/>
  <c r="F24" i="9"/>
  <c r="E24" i="9"/>
  <c r="C24" i="9"/>
  <c r="I28" i="13"/>
  <c r="H28" i="13"/>
  <c r="F28" i="13"/>
  <c r="E28" i="13"/>
  <c r="D28" i="13"/>
  <c r="K27" i="13"/>
  <c r="K26" i="13"/>
  <c r="J28" i="13"/>
  <c r="K24" i="13"/>
  <c r="I28" i="12"/>
  <c r="H28" i="12"/>
  <c r="F28" i="12"/>
  <c r="E28" i="12"/>
  <c r="D28" i="12"/>
  <c r="K27" i="12"/>
  <c r="K26" i="12"/>
  <c r="J28" i="12"/>
  <c r="K24" i="12"/>
  <c r="I28" i="11"/>
  <c r="H28" i="11"/>
  <c r="F28" i="11"/>
  <c r="E28" i="11"/>
  <c r="D28" i="11"/>
  <c r="K27" i="11"/>
  <c r="K26" i="11"/>
  <c r="J28" i="11"/>
  <c r="K24" i="11"/>
  <c r="I28" i="10"/>
  <c r="H28" i="10"/>
  <c r="F28" i="10"/>
  <c r="E28" i="10"/>
  <c r="D28" i="10"/>
  <c r="K27" i="10"/>
  <c r="K26" i="10"/>
  <c r="J28" i="10"/>
  <c r="K24" i="10"/>
  <c r="I28" i="4"/>
  <c r="H28" i="4"/>
  <c r="F28" i="4"/>
  <c r="E28" i="4"/>
  <c r="D28" i="4"/>
  <c r="K27" i="4"/>
  <c r="K26" i="4"/>
  <c r="J28" i="4"/>
  <c r="K24" i="4"/>
  <c r="I28" i="3"/>
  <c r="H28" i="3"/>
  <c r="F28" i="3"/>
  <c r="E28" i="3"/>
  <c r="D28" i="3"/>
  <c r="K27" i="3"/>
  <c r="K26" i="3"/>
  <c r="J28" i="3"/>
  <c r="K24" i="3"/>
  <c r="H28" i="2"/>
  <c r="F28" i="2"/>
  <c r="E28" i="2"/>
  <c r="D28" i="2"/>
  <c r="K27" i="2"/>
  <c r="J28" i="2"/>
  <c r="K24" i="2"/>
  <c r="I28" i="1"/>
  <c r="H28" i="1"/>
  <c r="F28" i="1"/>
  <c r="E28" i="1"/>
  <c r="D28" i="1"/>
  <c r="K27" i="1"/>
  <c r="K26" i="1"/>
  <c r="J28" i="1"/>
  <c r="K24" i="1"/>
  <c r="J25" i="8"/>
  <c r="G26" i="8"/>
  <c r="G25" i="8"/>
  <c r="C24" i="8"/>
  <c r="C26" i="8"/>
  <c r="J26" i="8"/>
  <c r="J28" i="8"/>
  <c r="I28" i="8"/>
  <c r="H28" i="8"/>
  <c r="F28" i="8"/>
  <c r="E28" i="8"/>
  <c r="D28" i="8"/>
  <c r="C28" i="8"/>
  <c r="K27" i="8"/>
  <c r="G28" i="8"/>
  <c r="K25" i="8"/>
  <c r="K24" i="8"/>
  <c r="G26" i="7"/>
  <c r="J28" i="7"/>
  <c r="I28" i="7"/>
  <c r="H28" i="7"/>
  <c r="G28" i="7"/>
  <c r="F28" i="7"/>
  <c r="E28" i="7"/>
  <c r="D28" i="7"/>
  <c r="C28" i="7"/>
  <c r="K28" i="7" s="1"/>
  <c r="K27" i="7"/>
  <c r="K26" i="7"/>
  <c r="K25" i="7"/>
  <c r="K24" i="7"/>
  <c r="J28" i="6"/>
  <c r="I28" i="6"/>
  <c r="H28" i="6"/>
  <c r="G28" i="6"/>
  <c r="F28" i="6"/>
  <c r="E28" i="6"/>
  <c r="D28" i="6"/>
  <c r="C28" i="6"/>
  <c r="K28" i="6" s="1"/>
  <c r="K27" i="6"/>
  <c r="K26" i="6"/>
  <c r="K25" i="6"/>
  <c r="K24" i="6"/>
  <c r="G31" i="5"/>
  <c r="E31" i="5"/>
  <c r="J28" i="5"/>
  <c r="J31" i="5" s="1"/>
  <c r="I28" i="5"/>
  <c r="I31" i="5" s="1"/>
  <c r="H28" i="5"/>
  <c r="H31" i="5" s="1"/>
  <c r="G28" i="5"/>
  <c r="F28" i="5"/>
  <c r="F31" i="5" s="1"/>
  <c r="E28" i="5"/>
  <c r="D28" i="5"/>
  <c r="D31" i="5" s="1"/>
  <c r="C28" i="5"/>
  <c r="C31" i="5" s="1"/>
  <c r="K27" i="5"/>
  <c r="K26" i="5"/>
  <c r="K25" i="5"/>
  <c r="K24" i="5"/>
  <c r="J18" i="10"/>
  <c r="I28" i="2" l="1"/>
  <c r="G28" i="2"/>
  <c r="G28" i="3"/>
  <c r="G28" i="4"/>
  <c r="G28" i="10"/>
  <c r="G28" i="11"/>
  <c r="G28" i="12"/>
  <c r="G28" i="13"/>
  <c r="K25" i="13"/>
  <c r="C28" i="13"/>
  <c r="K28" i="13" s="1"/>
  <c r="K25" i="12"/>
  <c r="C28" i="12"/>
  <c r="K25" i="11"/>
  <c r="C28" i="11"/>
  <c r="K28" i="11" s="1"/>
  <c r="K25" i="10"/>
  <c r="C28" i="10"/>
  <c r="K25" i="4"/>
  <c r="C28" i="4"/>
  <c r="K28" i="4" s="1"/>
  <c r="K25" i="3"/>
  <c r="C28" i="3"/>
  <c r="K25" i="2"/>
  <c r="K28" i="2"/>
  <c r="G28" i="1"/>
  <c r="K25" i="1"/>
  <c r="C28" i="1"/>
  <c r="K28" i="1" s="1"/>
  <c r="K25" i="9"/>
  <c r="K26" i="9"/>
  <c r="K27" i="9"/>
  <c r="K28" i="8"/>
  <c r="K26" i="8"/>
  <c r="K28" i="5"/>
  <c r="K31" i="5" s="1"/>
  <c r="J19" i="11"/>
  <c r="J21" i="11" s="1"/>
  <c r="J31" i="11" s="1"/>
  <c r="J18" i="11"/>
  <c r="I19" i="11"/>
  <c r="I21" i="11" s="1"/>
  <c r="I18" i="11"/>
  <c r="G19" i="11"/>
  <c r="G21" i="11" s="1"/>
  <c r="G31" i="11" s="1"/>
  <c r="G18" i="11"/>
  <c r="F19" i="11"/>
  <c r="F21" i="11" s="1"/>
  <c r="F18" i="11"/>
  <c r="J19" i="10"/>
  <c r="I19" i="10"/>
  <c r="I21" i="10" s="1"/>
  <c r="I18" i="10"/>
  <c r="C19" i="10"/>
  <c r="K19" i="10" s="1"/>
  <c r="C18" i="10"/>
  <c r="C17" i="10"/>
  <c r="C21" i="10" s="1"/>
  <c r="H19" i="10"/>
  <c r="G20" i="10"/>
  <c r="K20" i="10" s="1"/>
  <c r="G19" i="10"/>
  <c r="G18" i="10"/>
  <c r="G21" i="10" s="1"/>
  <c r="F19" i="10"/>
  <c r="F18" i="10"/>
  <c r="F21" i="10" s="1"/>
  <c r="F31" i="10" s="1"/>
  <c r="E19" i="10"/>
  <c r="E18" i="10"/>
  <c r="E21" i="10" s="1"/>
  <c r="E31" i="10" s="1"/>
  <c r="C20" i="4"/>
  <c r="C19" i="4"/>
  <c r="C18" i="4"/>
  <c r="C17" i="4"/>
  <c r="C21" i="4" s="1"/>
  <c r="J20" i="4"/>
  <c r="J19" i="4"/>
  <c r="J18" i="4"/>
  <c r="I19" i="4"/>
  <c r="I18" i="4"/>
  <c r="H19" i="4"/>
  <c r="H18" i="4"/>
  <c r="G20" i="4"/>
  <c r="K20" i="4" s="1"/>
  <c r="G19" i="4"/>
  <c r="G18" i="4"/>
  <c r="F19" i="4"/>
  <c r="F18" i="4"/>
  <c r="E19" i="4"/>
  <c r="E18" i="4"/>
  <c r="K18" i="4" s="1"/>
  <c r="G20" i="3"/>
  <c r="C20" i="3"/>
  <c r="C20" i="9" s="1"/>
  <c r="C19" i="3"/>
  <c r="C18" i="3"/>
  <c r="K18" i="3" s="1"/>
  <c r="C17" i="3"/>
  <c r="J20" i="3"/>
  <c r="J19" i="3"/>
  <c r="J18" i="3"/>
  <c r="J21" i="3" s="1"/>
  <c r="J31" i="3" s="1"/>
  <c r="I20" i="3"/>
  <c r="I20" i="9" s="1"/>
  <c r="I19" i="3"/>
  <c r="I18" i="3"/>
  <c r="H19" i="3"/>
  <c r="H18" i="3"/>
  <c r="H17" i="3"/>
  <c r="H17" i="9" s="1"/>
  <c r="G19" i="3"/>
  <c r="G18" i="3"/>
  <c r="F20" i="3"/>
  <c r="F20" i="9" s="1"/>
  <c r="F19" i="3"/>
  <c r="F18" i="3"/>
  <c r="E19" i="3"/>
  <c r="E18" i="3"/>
  <c r="G20" i="2"/>
  <c r="C17" i="2"/>
  <c r="C18" i="2"/>
  <c r="J20" i="2"/>
  <c r="J19" i="2"/>
  <c r="J18" i="2"/>
  <c r="J21" i="2" s="1"/>
  <c r="J31" i="2" s="1"/>
  <c r="I19" i="2"/>
  <c r="I18" i="2"/>
  <c r="I18" i="9" s="1"/>
  <c r="G19" i="2"/>
  <c r="G18" i="2"/>
  <c r="F19" i="2"/>
  <c r="F18" i="2"/>
  <c r="F21" i="2" s="1"/>
  <c r="F31" i="2" s="1"/>
  <c r="C19" i="2"/>
  <c r="H20" i="9"/>
  <c r="E20" i="9"/>
  <c r="D20" i="9"/>
  <c r="H19" i="9"/>
  <c r="E19" i="9"/>
  <c r="D19" i="9"/>
  <c r="J18" i="9"/>
  <c r="H18" i="9"/>
  <c r="E18" i="9"/>
  <c r="D18" i="9"/>
  <c r="C18" i="9"/>
  <c r="J17" i="9"/>
  <c r="I17" i="9"/>
  <c r="G17" i="9"/>
  <c r="F17" i="9"/>
  <c r="E17" i="9"/>
  <c r="D17" i="9"/>
  <c r="J13" i="9"/>
  <c r="I13" i="9"/>
  <c r="H13" i="9"/>
  <c r="F13" i="9"/>
  <c r="E13" i="9"/>
  <c r="D13" i="9"/>
  <c r="C13" i="9"/>
  <c r="E12" i="9"/>
  <c r="D12" i="9"/>
  <c r="D11" i="9"/>
  <c r="J10" i="9"/>
  <c r="I10" i="9"/>
  <c r="H10" i="9"/>
  <c r="G10" i="9"/>
  <c r="F10" i="9"/>
  <c r="E10" i="9"/>
  <c r="D10" i="9"/>
  <c r="C10" i="9"/>
  <c r="J21" i="13"/>
  <c r="J31" i="13" s="1"/>
  <c r="I21" i="13"/>
  <c r="I31" i="13" s="1"/>
  <c r="H21" i="13"/>
  <c r="H31" i="13" s="1"/>
  <c r="G21" i="13"/>
  <c r="G31" i="13" s="1"/>
  <c r="F21" i="13"/>
  <c r="F31" i="13" s="1"/>
  <c r="E21" i="13"/>
  <c r="E31" i="13" s="1"/>
  <c r="D21" i="13"/>
  <c r="D31" i="13" s="1"/>
  <c r="C21" i="13"/>
  <c r="C31" i="13" s="1"/>
  <c r="K20" i="13"/>
  <c r="K19" i="13"/>
  <c r="K18" i="13"/>
  <c r="K17" i="13"/>
  <c r="J21" i="12"/>
  <c r="J31" i="12" s="1"/>
  <c r="I21" i="12"/>
  <c r="I31" i="12" s="1"/>
  <c r="H21" i="12"/>
  <c r="H31" i="12" s="1"/>
  <c r="G21" i="12"/>
  <c r="F21" i="12"/>
  <c r="F31" i="12" s="1"/>
  <c r="E21" i="12"/>
  <c r="E31" i="12" s="1"/>
  <c r="D21" i="12"/>
  <c r="D31" i="12" s="1"/>
  <c r="C21" i="12"/>
  <c r="C31" i="12" s="1"/>
  <c r="K20" i="12"/>
  <c r="K19" i="12"/>
  <c r="K18" i="12"/>
  <c r="K17" i="12"/>
  <c r="H21" i="11"/>
  <c r="H31" i="11" s="1"/>
  <c r="E21" i="11"/>
  <c r="E31" i="11" s="1"/>
  <c r="D21" i="11"/>
  <c r="D31" i="11" s="1"/>
  <c r="C21" i="11"/>
  <c r="C31" i="11" s="1"/>
  <c r="K20" i="11"/>
  <c r="K18" i="11"/>
  <c r="K17" i="11"/>
  <c r="G5" i="10"/>
  <c r="J21" i="10"/>
  <c r="H21" i="10"/>
  <c r="H31" i="10" s="1"/>
  <c r="D21" i="10"/>
  <c r="D31" i="10" s="1"/>
  <c r="K17" i="10"/>
  <c r="G13" i="4"/>
  <c r="G13" i="9" s="1"/>
  <c r="J12" i="4"/>
  <c r="G12" i="4"/>
  <c r="K12" i="4" s="1"/>
  <c r="C12" i="4"/>
  <c r="J5" i="4"/>
  <c r="G5" i="4"/>
  <c r="J21" i="4"/>
  <c r="J31" i="4" s="1"/>
  <c r="I21" i="4"/>
  <c r="I31" i="4" s="1"/>
  <c r="H21" i="4"/>
  <c r="H31" i="4" s="1"/>
  <c r="G21" i="4"/>
  <c r="G31" i="4" s="1"/>
  <c r="F21" i="4"/>
  <c r="F31" i="4" s="1"/>
  <c r="E21" i="4"/>
  <c r="E31" i="4" s="1"/>
  <c r="D21" i="4"/>
  <c r="D31" i="4" s="1"/>
  <c r="K19" i="4"/>
  <c r="K17" i="4"/>
  <c r="J12" i="3"/>
  <c r="I12" i="3"/>
  <c r="G12" i="3"/>
  <c r="F12" i="3"/>
  <c r="F12" i="9" s="1"/>
  <c r="C12" i="3"/>
  <c r="C12" i="9" s="1"/>
  <c r="J5" i="3"/>
  <c r="J7" i="3" s="1"/>
  <c r="I5" i="3"/>
  <c r="G5" i="3"/>
  <c r="F5" i="3"/>
  <c r="C5" i="3"/>
  <c r="I21" i="3"/>
  <c r="I31" i="3" s="1"/>
  <c r="G21" i="3"/>
  <c r="G31" i="3" s="1"/>
  <c r="E21" i="3"/>
  <c r="E31" i="3" s="1"/>
  <c r="D21" i="3"/>
  <c r="D31" i="3" s="1"/>
  <c r="C21" i="3"/>
  <c r="C31" i="3" s="1"/>
  <c r="K19" i="3"/>
  <c r="K17" i="3"/>
  <c r="H21" i="2"/>
  <c r="H31" i="2" s="1"/>
  <c r="E21" i="2"/>
  <c r="E31" i="2" s="1"/>
  <c r="D21" i="2"/>
  <c r="D31" i="2" s="1"/>
  <c r="K20" i="2"/>
  <c r="K19" i="2"/>
  <c r="K17" i="2"/>
  <c r="I12" i="2"/>
  <c r="G12" i="2"/>
  <c r="J5" i="2"/>
  <c r="G5" i="2"/>
  <c r="G7" i="2" s="1"/>
  <c r="C6" i="9"/>
  <c r="I19" i="1"/>
  <c r="G19" i="1"/>
  <c r="G19" i="9" s="1"/>
  <c r="G18" i="1"/>
  <c r="G12" i="1"/>
  <c r="G5" i="1"/>
  <c r="J21" i="1"/>
  <c r="J31" i="1" s="1"/>
  <c r="I21" i="1"/>
  <c r="I31" i="1" s="1"/>
  <c r="H21" i="1"/>
  <c r="H31" i="1" s="1"/>
  <c r="F21" i="1"/>
  <c r="E21" i="1"/>
  <c r="E31" i="1" s="1"/>
  <c r="D21" i="1"/>
  <c r="D31" i="1" s="1"/>
  <c r="C21" i="1"/>
  <c r="C31" i="1" s="1"/>
  <c r="K20" i="1"/>
  <c r="K18" i="1"/>
  <c r="K17" i="1"/>
  <c r="G12" i="8"/>
  <c r="J5" i="8"/>
  <c r="J7" i="8" s="1"/>
  <c r="K7" i="8" s="1"/>
  <c r="G5" i="8"/>
  <c r="J21" i="8"/>
  <c r="J31" i="8" s="1"/>
  <c r="I21" i="8"/>
  <c r="I31" i="8" s="1"/>
  <c r="H21" i="8"/>
  <c r="H31" i="8" s="1"/>
  <c r="G21" i="8"/>
  <c r="G31" i="8" s="1"/>
  <c r="F21" i="8"/>
  <c r="F31" i="8" s="1"/>
  <c r="E21" i="8"/>
  <c r="E31" i="8" s="1"/>
  <c r="D21" i="8"/>
  <c r="D31" i="8" s="1"/>
  <c r="C21" i="8"/>
  <c r="C31" i="8" s="1"/>
  <c r="K20" i="8"/>
  <c r="K19" i="8"/>
  <c r="K18" i="8"/>
  <c r="K17" i="8"/>
  <c r="J21" i="7"/>
  <c r="J31" i="7" s="1"/>
  <c r="I21" i="7"/>
  <c r="I31" i="7" s="1"/>
  <c r="H21" i="7"/>
  <c r="H31" i="7" s="1"/>
  <c r="G21" i="7"/>
  <c r="G31" i="7" s="1"/>
  <c r="F21" i="7"/>
  <c r="F31" i="7" s="1"/>
  <c r="E21" i="7"/>
  <c r="E31" i="7" s="1"/>
  <c r="D21" i="7"/>
  <c r="D31" i="7" s="1"/>
  <c r="C21" i="7"/>
  <c r="C31" i="7" s="1"/>
  <c r="K20" i="7"/>
  <c r="K19" i="7"/>
  <c r="K18" i="7"/>
  <c r="K17" i="7"/>
  <c r="G7" i="7"/>
  <c r="K13" i="5"/>
  <c r="K12" i="5"/>
  <c r="J21" i="6"/>
  <c r="J31" i="6" s="1"/>
  <c r="I21" i="6"/>
  <c r="I31" i="6" s="1"/>
  <c r="H21" i="6"/>
  <c r="H31" i="6" s="1"/>
  <c r="G21" i="6"/>
  <c r="G31" i="6" s="1"/>
  <c r="F21" i="6"/>
  <c r="F31" i="6" s="1"/>
  <c r="E21" i="6"/>
  <c r="E31" i="6" s="1"/>
  <c r="D21" i="6"/>
  <c r="D31" i="6" s="1"/>
  <c r="C21" i="6"/>
  <c r="C31" i="6" s="1"/>
  <c r="K20" i="6"/>
  <c r="K19" i="6"/>
  <c r="K18" i="6"/>
  <c r="K17" i="6"/>
  <c r="J21" i="5"/>
  <c r="I21" i="5"/>
  <c r="H21" i="5"/>
  <c r="G21" i="5"/>
  <c r="F21" i="5"/>
  <c r="E21" i="5"/>
  <c r="D21" i="5"/>
  <c r="K21" i="5" s="1"/>
  <c r="C21" i="5"/>
  <c r="K20" i="5"/>
  <c r="K19" i="5"/>
  <c r="K18" i="5"/>
  <c r="K17" i="5"/>
  <c r="J12" i="11"/>
  <c r="J11" i="11"/>
  <c r="H12" i="11"/>
  <c r="H12" i="9" s="1"/>
  <c r="H11" i="11"/>
  <c r="F11" i="11"/>
  <c r="C21" i="2"/>
  <c r="K10" i="10"/>
  <c r="C11" i="10"/>
  <c r="K11" i="10" s="1"/>
  <c r="E11" i="10"/>
  <c r="F11" i="10"/>
  <c r="F14" i="10" s="1"/>
  <c r="G11" i="10"/>
  <c r="H11" i="10"/>
  <c r="H14" i="10" s="1"/>
  <c r="I11" i="10"/>
  <c r="J11" i="10"/>
  <c r="I14" i="10"/>
  <c r="D14" i="10"/>
  <c r="K3" i="10"/>
  <c r="D4" i="10"/>
  <c r="K4" i="10"/>
  <c r="K5" i="10"/>
  <c r="K6" i="10"/>
  <c r="I3" i="9"/>
  <c r="K23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J6" i="9"/>
  <c r="I6" i="9"/>
  <c r="H6" i="9"/>
  <c r="G6" i="9"/>
  <c r="F6" i="9"/>
  <c r="E6" i="9"/>
  <c r="D6" i="9"/>
  <c r="J5" i="9"/>
  <c r="I5" i="9"/>
  <c r="H5" i="9"/>
  <c r="F5" i="9"/>
  <c r="E5" i="9"/>
  <c r="D5" i="9"/>
  <c r="C5" i="9"/>
  <c r="J4" i="9"/>
  <c r="I4" i="9"/>
  <c r="H4" i="9"/>
  <c r="G4" i="9"/>
  <c r="F4" i="9"/>
  <c r="E4" i="9"/>
  <c r="C4" i="9"/>
  <c r="J3" i="9"/>
  <c r="H3" i="9"/>
  <c r="G3" i="9"/>
  <c r="F3" i="9"/>
  <c r="E3" i="9"/>
  <c r="D3" i="9"/>
  <c r="C3" i="9"/>
  <c r="K55" i="13"/>
  <c r="D14" i="13"/>
  <c r="K14" i="13" s="1"/>
  <c r="J14" i="13"/>
  <c r="H14" i="13"/>
  <c r="F14" i="13"/>
  <c r="K13" i="13"/>
  <c r="K12" i="13"/>
  <c r="I14" i="13"/>
  <c r="G14" i="13"/>
  <c r="E14" i="13"/>
  <c r="C14" i="13"/>
  <c r="K10" i="13"/>
  <c r="J7" i="13"/>
  <c r="I7" i="13"/>
  <c r="H7" i="13"/>
  <c r="G7" i="13"/>
  <c r="F7" i="13"/>
  <c r="E7" i="13"/>
  <c r="D7" i="13"/>
  <c r="C7" i="13"/>
  <c r="K7" i="13" s="1"/>
  <c r="K6" i="13"/>
  <c r="K5" i="13"/>
  <c r="K4" i="13"/>
  <c r="K3" i="13"/>
  <c r="K55" i="12"/>
  <c r="D14" i="12"/>
  <c r="J14" i="12"/>
  <c r="H14" i="12"/>
  <c r="F14" i="12"/>
  <c r="K13" i="12"/>
  <c r="K12" i="12"/>
  <c r="I14" i="12"/>
  <c r="G14" i="12"/>
  <c r="E14" i="12"/>
  <c r="C14" i="12"/>
  <c r="K10" i="12"/>
  <c r="J7" i="12"/>
  <c r="I7" i="12"/>
  <c r="H7" i="12"/>
  <c r="G7" i="12"/>
  <c r="F7" i="12"/>
  <c r="E7" i="12"/>
  <c r="D7" i="12"/>
  <c r="C7" i="12"/>
  <c r="K6" i="12"/>
  <c r="K5" i="12"/>
  <c r="K4" i="12"/>
  <c r="K3" i="12"/>
  <c r="K55" i="11"/>
  <c r="D14" i="11"/>
  <c r="J14" i="11"/>
  <c r="F14" i="11"/>
  <c r="K13" i="11"/>
  <c r="K12" i="11"/>
  <c r="I14" i="11"/>
  <c r="G14" i="11"/>
  <c r="E14" i="11"/>
  <c r="C14" i="11"/>
  <c r="K10" i="11"/>
  <c r="J7" i="11"/>
  <c r="I7" i="11"/>
  <c r="H7" i="11"/>
  <c r="G7" i="11"/>
  <c r="F7" i="11"/>
  <c r="E7" i="11"/>
  <c r="D7" i="11"/>
  <c r="C7" i="11"/>
  <c r="K6" i="11"/>
  <c r="K5" i="11"/>
  <c r="K4" i="11"/>
  <c r="K3" i="11"/>
  <c r="K55" i="10"/>
  <c r="J7" i="10"/>
  <c r="I7" i="10"/>
  <c r="H7" i="10"/>
  <c r="G7" i="10"/>
  <c r="F7" i="10"/>
  <c r="E7" i="10"/>
  <c r="C7" i="10"/>
  <c r="K55" i="9"/>
  <c r="G14" i="8"/>
  <c r="K55" i="8"/>
  <c r="J14" i="8"/>
  <c r="I14" i="8"/>
  <c r="H14" i="8"/>
  <c r="F14" i="8"/>
  <c r="E14" i="8"/>
  <c r="D14" i="8"/>
  <c r="K14" i="8" s="1"/>
  <c r="C14" i="8"/>
  <c r="K12" i="8"/>
  <c r="K11" i="8"/>
  <c r="K10" i="8"/>
  <c r="I7" i="8"/>
  <c r="H7" i="8"/>
  <c r="G7" i="8"/>
  <c r="F7" i="8"/>
  <c r="E7" i="8"/>
  <c r="D7" i="8"/>
  <c r="C7" i="8"/>
  <c r="K6" i="8"/>
  <c r="K5" i="8"/>
  <c r="K4" i="8"/>
  <c r="K3" i="8"/>
  <c r="K55" i="7"/>
  <c r="J14" i="7"/>
  <c r="I14" i="7"/>
  <c r="H14" i="7"/>
  <c r="G14" i="7"/>
  <c r="F14" i="7"/>
  <c r="E14" i="7"/>
  <c r="D14" i="7"/>
  <c r="C14" i="7"/>
  <c r="K13" i="7"/>
  <c r="K12" i="7"/>
  <c r="K11" i="7"/>
  <c r="K10" i="7"/>
  <c r="J7" i="7"/>
  <c r="I7" i="7"/>
  <c r="H7" i="7"/>
  <c r="F7" i="7"/>
  <c r="E7" i="7"/>
  <c r="D7" i="7"/>
  <c r="C7" i="7"/>
  <c r="K7" i="7" s="1"/>
  <c r="K6" i="7"/>
  <c r="K5" i="7"/>
  <c r="K4" i="7"/>
  <c r="K3" i="7"/>
  <c r="K55" i="6"/>
  <c r="J14" i="6"/>
  <c r="I14" i="6"/>
  <c r="H14" i="6"/>
  <c r="G14" i="6"/>
  <c r="F14" i="6"/>
  <c r="E14" i="6"/>
  <c r="D14" i="6"/>
  <c r="C14" i="6"/>
  <c r="K13" i="6"/>
  <c r="K12" i="6"/>
  <c r="K11" i="6"/>
  <c r="K10" i="6"/>
  <c r="J7" i="6"/>
  <c r="I7" i="6"/>
  <c r="H7" i="6"/>
  <c r="G7" i="6"/>
  <c r="F7" i="6"/>
  <c r="E7" i="6"/>
  <c r="D7" i="6"/>
  <c r="C7" i="6"/>
  <c r="K6" i="6"/>
  <c r="K5" i="6"/>
  <c r="K4" i="6"/>
  <c r="K3" i="6"/>
  <c r="K55" i="5"/>
  <c r="J14" i="5"/>
  <c r="I14" i="5"/>
  <c r="H14" i="5"/>
  <c r="G14" i="5"/>
  <c r="F14" i="5"/>
  <c r="E14" i="5"/>
  <c r="D14" i="5"/>
  <c r="C14" i="5"/>
  <c r="K11" i="5"/>
  <c r="K10" i="5"/>
  <c r="J7" i="5"/>
  <c r="I7" i="5"/>
  <c r="H7" i="5"/>
  <c r="G7" i="5"/>
  <c r="F7" i="5"/>
  <c r="E7" i="5"/>
  <c r="D7" i="5"/>
  <c r="K7" i="5" s="1"/>
  <c r="C7" i="5"/>
  <c r="K6" i="5"/>
  <c r="K5" i="5"/>
  <c r="K4" i="5"/>
  <c r="K3" i="5"/>
  <c r="J11" i="4"/>
  <c r="J14" i="4" s="1"/>
  <c r="I11" i="4"/>
  <c r="I14" i="4" s="1"/>
  <c r="H11" i="4"/>
  <c r="H14" i="4" s="1"/>
  <c r="G11" i="4"/>
  <c r="F11" i="4"/>
  <c r="E11" i="4"/>
  <c r="E14" i="4" s="1"/>
  <c r="C11" i="4"/>
  <c r="C14" i="4" s="1"/>
  <c r="K55" i="4"/>
  <c r="D14" i="4"/>
  <c r="K10" i="4"/>
  <c r="J7" i="4"/>
  <c r="I7" i="4"/>
  <c r="H7" i="4"/>
  <c r="G7" i="4"/>
  <c r="F7" i="4"/>
  <c r="E7" i="4"/>
  <c r="C7" i="4"/>
  <c r="K6" i="4"/>
  <c r="K5" i="4"/>
  <c r="K4" i="4"/>
  <c r="D7" i="4"/>
  <c r="K3" i="4"/>
  <c r="D4" i="3"/>
  <c r="K4" i="3" s="1"/>
  <c r="J11" i="3"/>
  <c r="I11" i="3"/>
  <c r="I14" i="3" s="1"/>
  <c r="H11" i="3"/>
  <c r="G11" i="3"/>
  <c r="G14" i="3" s="1"/>
  <c r="F11" i="3"/>
  <c r="E11" i="3"/>
  <c r="E14" i="3" s="1"/>
  <c r="C11" i="3"/>
  <c r="K55" i="3"/>
  <c r="D14" i="3"/>
  <c r="K10" i="3"/>
  <c r="I7" i="3"/>
  <c r="H7" i="3"/>
  <c r="G7" i="3"/>
  <c r="E7" i="3"/>
  <c r="C7" i="3"/>
  <c r="K6" i="3"/>
  <c r="K5" i="3"/>
  <c r="K3" i="3"/>
  <c r="D4" i="2"/>
  <c r="K4" i="2" s="1"/>
  <c r="J11" i="2"/>
  <c r="I11" i="2"/>
  <c r="I14" i="2" s="1"/>
  <c r="H11" i="2"/>
  <c r="G11" i="2"/>
  <c r="F11" i="2"/>
  <c r="C11" i="2"/>
  <c r="K11" i="2" s="1"/>
  <c r="E11" i="2"/>
  <c r="E14" i="2" s="1"/>
  <c r="K55" i="2"/>
  <c r="D14" i="2"/>
  <c r="K10" i="2"/>
  <c r="J7" i="2"/>
  <c r="I7" i="2"/>
  <c r="H7" i="2"/>
  <c r="F7" i="2"/>
  <c r="E7" i="2"/>
  <c r="D7" i="2"/>
  <c r="C7" i="2"/>
  <c r="K6" i="2"/>
  <c r="K3" i="2"/>
  <c r="K55" i="1"/>
  <c r="K6" i="1"/>
  <c r="K5" i="1"/>
  <c r="K4" i="1"/>
  <c r="K3" i="1"/>
  <c r="K13" i="1"/>
  <c r="K12" i="1"/>
  <c r="K11" i="1"/>
  <c r="K10" i="1"/>
  <c r="J7" i="1"/>
  <c r="I7" i="1"/>
  <c r="H7" i="1"/>
  <c r="G7" i="1"/>
  <c r="F7" i="1"/>
  <c r="E7" i="1"/>
  <c r="D7" i="1"/>
  <c r="C7" i="1"/>
  <c r="J14" i="1"/>
  <c r="I14" i="1"/>
  <c r="H14" i="1"/>
  <c r="G14" i="1"/>
  <c r="F14" i="1"/>
  <c r="E14" i="1"/>
  <c r="D14" i="1"/>
  <c r="C14" i="1"/>
  <c r="K12" i="10"/>
  <c r="J14" i="10"/>
  <c r="K13" i="10"/>
  <c r="G14" i="10"/>
  <c r="E14" i="10"/>
  <c r="K13" i="4"/>
  <c r="H14" i="3"/>
  <c r="C14" i="2"/>
  <c r="K13" i="8"/>
  <c r="K14" i="5"/>
  <c r="K7" i="11"/>
  <c r="D7" i="10"/>
  <c r="K7" i="10" s="1"/>
  <c r="K7" i="12"/>
  <c r="K11" i="13"/>
  <c r="K14" i="12"/>
  <c r="K11" i="12"/>
  <c r="K7" i="6"/>
  <c r="F14" i="4"/>
  <c r="K13" i="2"/>
  <c r="J14" i="3"/>
  <c r="K13" i="3"/>
  <c r="F14" i="3"/>
  <c r="C14" i="3"/>
  <c r="F7" i="3"/>
  <c r="G14" i="2"/>
  <c r="K14" i="1"/>
  <c r="C31" i="2" l="1"/>
  <c r="G31" i="12"/>
  <c r="F19" i="9"/>
  <c r="J20" i="9"/>
  <c r="K12" i="3"/>
  <c r="I12" i="9"/>
  <c r="K20" i="3"/>
  <c r="F21" i="3"/>
  <c r="F31" i="3" s="1"/>
  <c r="H21" i="3"/>
  <c r="H31" i="3" s="1"/>
  <c r="K28" i="3"/>
  <c r="K11" i="4"/>
  <c r="K7" i="4"/>
  <c r="C14" i="10"/>
  <c r="C11" i="9"/>
  <c r="K28" i="10"/>
  <c r="H14" i="11"/>
  <c r="K28" i="12"/>
  <c r="K21" i="13"/>
  <c r="K31" i="13" s="1"/>
  <c r="K21" i="12"/>
  <c r="K31" i="12" s="1"/>
  <c r="F31" i="11"/>
  <c r="K21" i="11"/>
  <c r="K31" i="11" s="1"/>
  <c r="I31" i="11"/>
  <c r="K14" i="11"/>
  <c r="K11" i="11"/>
  <c r="J12" i="9"/>
  <c r="K19" i="11"/>
  <c r="K14" i="10"/>
  <c r="G31" i="10"/>
  <c r="C31" i="10"/>
  <c r="K21" i="10"/>
  <c r="I31" i="10"/>
  <c r="J31" i="10"/>
  <c r="H11" i="9"/>
  <c r="J11" i="9"/>
  <c r="G18" i="9"/>
  <c r="G21" i="9" s="1"/>
  <c r="I19" i="9"/>
  <c r="K18" i="10"/>
  <c r="C31" i="4"/>
  <c r="K21" i="4"/>
  <c r="K31" i="4" s="1"/>
  <c r="G14" i="4"/>
  <c r="K14" i="4" s="1"/>
  <c r="F11" i="9"/>
  <c r="F18" i="9"/>
  <c r="C17" i="9"/>
  <c r="K17" i="9" s="1"/>
  <c r="J19" i="9"/>
  <c r="J21" i="9" s="1"/>
  <c r="K14" i="3"/>
  <c r="K11" i="3"/>
  <c r="D7" i="3"/>
  <c r="K7" i="3" s="1"/>
  <c r="G11" i="9"/>
  <c r="I11" i="9"/>
  <c r="I14" i="9" s="1"/>
  <c r="G5" i="9"/>
  <c r="C19" i="9"/>
  <c r="K19" i="9" s="1"/>
  <c r="G20" i="9"/>
  <c r="G21" i="2"/>
  <c r="G31" i="2" s="1"/>
  <c r="K7" i="2"/>
  <c r="K12" i="2"/>
  <c r="D28" i="9"/>
  <c r="D31" i="9" s="1"/>
  <c r="E11" i="9"/>
  <c r="H14" i="2"/>
  <c r="J14" i="2"/>
  <c r="J28" i="9" s="1"/>
  <c r="D4" i="9"/>
  <c r="K4" i="9" s="1"/>
  <c r="F14" i="2"/>
  <c r="F28" i="9" s="1"/>
  <c r="C28" i="9"/>
  <c r="E28" i="9"/>
  <c r="G28" i="9"/>
  <c r="K5" i="2"/>
  <c r="K18" i="2"/>
  <c r="I21" i="2"/>
  <c r="D21" i="9"/>
  <c r="K14" i="2"/>
  <c r="H28" i="9"/>
  <c r="K7" i="1"/>
  <c r="G12" i="9"/>
  <c r="K12" i="9" s="1"/>
  <c r="G21" i="1"/>
  <c r="G31" i="1" s="1"/>
  <c r="K24" i="9"/>
  <c r="K19" i="1"/>
  <c r="C14" i="9"/>
  <c r="E14" i="9"/>
  <c r="K11" i="9"/>
  <c r="K6" i="9"/>
  <c r="K21" i="8"/>
  <c r="K31" i="8" s="1"/>
  <c r="D14" i="9"/>
  <c r="J14" i="9"/>
  <c r="G14" i="9"/>
  <c r="K14" i="7"/>
  <c r="K21" i="7"/>
  <c r="K31" i="7" s="1"/>
  <c r="F7" i="9"/>
  <c r="H7" i="9"/>
  <c r="K20" i="9"/>
  <c r="K14" i="6"/>
  <c r="C7" i="9"/>
  <c r="K21" i="6"/>
  <c r="K31" i="6" s="1"/>
  <c r="K13" i="9"/>
  <c r="I21" i="9"/>
  <c r="H21" i="9"/>
  <c r="E21" i="9"/>
  <c r="E7" i="9"/>
  <c r="G7" i="9"/>
  <c r="F14" i="9"/>
  <c r="H14" i="9"/>
  <c r="F21" i="9"/>
  <c r="K3" i="9"/>
  <c r="J7" i="9"/>
  <c r="K5" i="9"/>
  <c r="I7" i="9"/>
  <c r="K10" i="9"/>
  <c r="G31" i="9" l="1"/>
  <c r="E31" i="9"/>
  <c r="C21" i="9"/>
  <c r="K21" i="9" s="1"/>
  <c r="K21" i="3"/>
  <c r="K31" i="3" s="1"/>
  <c r="K18" i="9"/>
  <c r="D7" i="9"/>
  <c r="K7" i="9" s="1"/>
  <c r="C31" i="9"/>
  <c r="H31" i="9"/>
  <c r="K31" i="10"/>
  <c r="K21" i="2"/>
  <c r="K31" i="2" s="1"/>
  <c r="I31" i="2"/>
  <c r="J31" i="9"/>
  <c r="I28" i="9"/>
  <c r="I31" i="9" s="1"/>
  <c r="F31" i="9"/>
  <c r="K21" i="1"/>
  <c r="K31" i="1" s="1"/>
  <c r="K14" i="9"/>
  <c r="K28" i="9" l="1"/>
  <c r="K31" i="9" s="1"/>
</calcChain>
</file>

<file path=xl/sharedStrings.xml><?xml version="1.0" encoding="utf-8"?>
<sst xmlns="http://schemas.openxmlformats.org/spreadsheetml/2006/main" count="1331" uniqueCount="56">
  <si>
    <t>Præstø</t>
  </si>
  <si>
    <t>Bogø</t>
  </si>
  <si>
    <t>Hårbølle</t>
  </si>
  <si>
    <t>Kalvehave</t>
  </si>
  <si>
    <t>Klintholm</t>
  </si>
  <si>
    <t>Masnedsund</t>
  </si>
  <si>
    <t>Stege</t>
  </si>
  <si>
    <t>Nordhavn</t>
  </si>
  <si>
    <t>I alt</t>
  </si>
  <si>
    <t>Autocamper</t>
  </si>
  <si>
    <t>0-9m</t>
  </si>
  <si>
    <t>9-15m</t>
  </si>
  <si>
    <t>&gt;15m</t>
  </si>
  <si>
    <t>Udvikling i %</t>
  </si>
  <si>
    <t>2024 til 2025</t>
  </si>
  <si>
    <t>Bådpladser</t>
  </si>
  <si>
    <t>Tal benyttet er fra Beasportalen -&gt; Historik -&gt; Salgsstatistik</t>
  </si>
  <si>
    <t>Tal til DST er fra Beasportalen -&gt; Historik -&gt; Nationalitet</t>
  </si>
  <si>
    <t>Besøgstal for januar</t>
  </si>
  <si>
    <t>Besøgstal for februar</t>
  </si>
  <si>
    <t>Besøgstal for marts</t>
  </si>
  <si>
    <t>Besøgstal for april</t>
  </si>
  <si>
    <t>Besøgstal for maj</t>
  </si>
  <si>
    <t>Besøgstal for juni</t>
  </si>
  <si>
    <t>Besøgstal for juli</t>
  </si>
  <si>
    <t>Besøgstal for august</t>
  </si>
  <si>
    <t>9-12m</t>
  </si>
  <si>
    <t>12-15m</t>
  </si>
  <si>
    <t>Besøgstal for september</t>
  </si>
  <si>
    <t>Besøgstal for oktober</t>
  </si>
  <si>
    <t>Besøgstal for november</t>
  </si>
  <si>
    <t>Besøgstal for december</t>
  </si>
  <si>
    <t>Havn</t>
  </si>
  <si>
    <t>Måned</t>
  </si>
  <si>
    <t>År</t>
  </si>
  <si>
    <t>Autocampere</t>
  </si>
  <si>
    <t>Både &lt; 9 m</t>
  </si>
  <si>
    <t>Både &gt; 9 m &lt; 15 m</t>
  </si>
  <si>
    <t>Både &gt; 15 m</t>
  </si>
  <si>
    <t>Total</t>
  </si>
  <si>
    <t>Sum af Autocampere</t>
  </si>
  <si>
    <t>Sum af Både &lt; 9 m</t>
  </si>
  <si>
    <t>Sum af Både &gt; 9 m &lt; 15 m</t>
  </si>
  <si>
    <t>Sum af Både &gt; 15 m</t>
  </si>
  <si>
    <t>Sum af Total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</si>
  <si>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</si>
  <si>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</si>
  <si>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</si>
  <si>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</si>
  <si>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</si>
  <si>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</si>
  <si>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</si>
  <si>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</si>
  <si>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2022 Total</t>
  </si>
  <si>
    <t>2023 Total</t>
  </si>
  <si>
    <t>Masnedsund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</si>
</sst>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3" fontId="0" fillId="0" borderId="0" xfId="0" applyNumberFormat="1"/>
    <xf numFmtId="0" fontId="1" fillId="0" borderId="7" xfId="0" applyFont="1" applyBorder="1"/>
    <xf numFmtId="16" fontId="1" fillId="0" borderId="7" xfId="0" applyNumberFormat="1" applyFont="1" applyBorder="1"/>
    <xf numFmtId="0" fontId="1" fillId="0" borderId="8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9" fontId="1" fillId="0" borderId="1" xfId="1" applyFont="1" applyBorder="1" applyAlignment="1">
      <alignment horizontal="center"/>
    </xf>
    <xf numFmtId="9" fontId="1" fillId="0" borderId="3" xfId="1" applyFont="1" applyBorder="1" applyAlignment="1">
      <alignment horizontal="center"/>
    </xf>
    <xf numFmtId="9" fontId="1" fillId="0" borderId="10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pivotButton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4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/>
    <xf numFmtId="3" fontId="0" fillId="0" borderId="11" xfId="0" applyNumberFormat="1" applyBorder="1"/>
  </cellXfs>
  <cellStyles count="2">
    <cellStyle name="Normal" xfId="0" builtinId="0"/>
    <cellStyle name="Procent" xfId="1" builtinId="5"/>
  </cellStyles>
  <dxfs count="7"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Overnatninger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Samlet!$B$2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Samlet!$B$3:$B$6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Samlet!$K$3:$K$6</c:f>
              <c:numCache>
                <c:formatCode>#,##0</c:formatCode>
                <c:ptCount val="4"/>
                <c:pt idx="0">
                  <c:v>2863</c:v>
                </c:pt>
                <c:pt idx="1">
                  <c:v>4997</c:v>
                </c:pt>
                <c:pt idx="2">
                  <c:v>14698</c:v>
                </c:pt>
                <c:pt idx="3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B-44AD-A374-241ED00A17D9}"/>
            </c:ext>
          </c:extLst>
        </c:ser>
        <c:ser>
          <c:idx val="1"/>
          <c:order val="1"/>
          <c:tx>
            <c:strRef>
              <c:f>Samlet!$B$9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Samlet!$B$3:$B$6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Samlet!$K$10:$K$13</c:f>
              <c:numCache>
                <c:formatCode>#,##0</c:formatCode>
                <c:ptCount val="4"/>
                <c:pt idx="0">
                  <c:v>2446</c:v>
                </c:pt>
                <c:pt idx="1">
                  <c:v>4559</c:v>
                </c:pt>
                <c:pt idx="2">
                  <c:v>14817</c:v>
                </c:pt>
                <c:pt idx="3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B-44AD-A374-241ED00A17D9}"/>
            </c:ext>
          </c:extLst>
        </c:ser>
        <c:ser>
          <c:idx val="2"/>
          <c:order val="2"/>
          <c:tx>
            <c:strRef>
              <c:f>Samlet!$B$16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Samlet!$K$17:$K$20</c:f>
              <c:numCache>
                <c:formatCode>#,##0</c:formatCode>
                <c:ptCount val="4"/>
                <c:pt idx="0">
                  <c:v>3181</c:v>
                </c:pt>
                <c:pt idx="1">
                  <c:v>4902</c:v>
                </c:pt>
                <c:pt idx="2">
                  <c:v>14313</c:v>
                </c:pt>
                <c:pt idx="3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C-4892-BD16-C9CBDD6A45FA}"/>
            </c:ext>
          </c:extLst>
        </c:ser>
        <c:ser>
          <c:idx val="3"/>
          <c:order val="3"/>
          <c:tx>
            <c:strRef>
              <c:f>Samlet!$B$23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Samlet!$K$24:$K$27</c:f>
              <c:numCache>
                <c:formatCode>#,##0</c:formatCode>
                <c:ptCount val="4"/>
                <c:pt idx="0">
                  <c:v>4766</c:v>
                </c:pt>
                <c:pt idx="1">
                  <c:v>5402</c:v>
                </c:pt>
                <c:pt idx="2">
                  <c:v>16081</c:v>
                </c:pt>
                <c:pt idx="3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3-4A83-9C7C-50B857F314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EA-434F-B49D-1EF6CB37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April!$C$7:$J$7</c:f>
              <c:numCache>
                <c:formatCode>#,##0</c:formatCode>
                <c:ptCount val="8"/>
                <c:pt idx="0">
                  <c:v>63</c:v>
                </c:pt>
                <c:pt idx="1">
                  <c:v>20</c:v>
                </c:pt>
                <c:pt idx="2">
                  <c:v>0</c:v>
                </c:pt>
                <c:pt idx="3">
                  <c:v>87</c:v>
                </c:pt>
                <c:pt idx="4">
                  <c:v>178</c:v>
                </c:pt>
                <c:pt idx="5">
                  <c:v>12</c:v>
                </c:pt>
                <c:pt idx="6">
                  <c:v>59</c:v>
                </c:pt>
                <c:pt idx="7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A-434F-B49D-1EF6CB372B6A}"/>
            </c:ext>
          </c:extLst>
        </c:ser>
        <c:ser>
          <c:idx val="1"/>
          <c:order val="1"/>
          <c:tx>
            <c:strRef>
              <c:f>April!$B$9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EA-434F-B49D-1EF6CB37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April!$C$14:$J$14</c:f>
              <c:numCache>
                <c:formatCode>#,##0</c:formatCode>
                <c:ptCount val="8"/>
                <c:pt idx="0">
                  <c:v>65</c:v>
                </c:pt>
                <c:pt idx="1">
                  <c:v>13</c:v>
                </c:pt>
                <c:pt idx="2">
                  <c:v>2</c:v>
                </c:pt>
                <c:pt idx="3">
                  <c:v>46</c:v>
                </c:pt>
                <c:pt idx="4">
                  <c:v>159</c:v>
                </c:pt>
                <c:pt idx="5">
                  <c:v>15</c:v>
                </c:pt>
                <c:pt idx="6">
                  <c:v>38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EA-434F-B49D-1EF6CB372B6A}"/>
            </c:ext>
          </c:extLst>
        </c:ser>
        <c:ser>
          <c:idx val="2"/>
          <c:order val="2"/>
          <c:tx>
            <c:strRef>
              <c:f>April!$B$16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April!$C$21:$J$21</c:f>
              <c:numCache>
                <c:formatCode>#,##0</c:formatCode>
                <c:ptCount val="8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29</c:v>
                </c:pt>
                <c:pt idx="4">
                  <c:v>108</c:v>
                </c:pt>
                <c:pt idx="5">
                  <c:v>9</c:v>
                </c:pt>
                <c:pt idx="6">
                  <c:v>28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2-49B6-8F5E-28F5D7C64479}"/>
            </c:ext>
          </c:extLst>
        </c:ser>
        <c:ser>
          <c:idx val="3"/>
          <c:order val="3"/>
          <c:tx>
            <c:strRef>
              <c:f>April!$B$23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April!$C$28:$J$28</c:f>
              <c:numCache>
                <c:formatCode>#,##0</c:formatCode>
                <c:ptCount val="8"/>
                <c:pt idx="0">
                  <c:v>57</c:v>
                </c:pt>
                <c:pt idx="1">
                  <c:v>4</c:v>
                </c:pt>
                <c:pt idx="2">
                  <c:v>26</c:v>
                </c:pt>
                <c:pt idx="3">
                  <c:v>51</c:v>
                </c:pt>
                <c:pt idx="4">
                  <c:v>136</c:v>
                </c:pt>
                <c:pt idx="5">
                  <c:v>21</c:v>
                </c:pt>
                <c:pt idx="6">
                  <c:v>93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E-4067-B24A-3D14614E26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Maj!$B$2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Maj!$B$3:$B$6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Maj!$K$3:$K$6</c:f>
              <c:numCache>
                <c:formatCode>#,##0</c:formatCode>
                <c:ptCount val="4"/>
                <c:pt idx="0">
                  <c:v>257</c:v>
                </c:pt>
                <c:pt idx="1">
                  <c:v>242</c:v>
                </c:pt>
                <c:pt idx="2">
                  <c:v>912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8-45B5-B616-53275494B113}"/>
            </c:ext>
          </c:extLst>
        </c:ser>
        <c:ser>
          <c:idx val="1"/>
          <c:order val="1"/>
          <c:tx>
            <c:strRef>
              <c:f>Maj!$B$9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Maj!$B$3:$B$6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Maj!$K$10:$K$13</c:f>
              <c:numCache>
                <c:formatCode>#,##0</c:formatCode>
                <c:ptCount val="4"/>
                <c:pt idx="0">
                  <c:v>232</c:v>
                </c:pt>
                <c:pt idx="1">
                  <c:v>304</c:v>
                </c:pt>
                <c:pt idx="2">
                  <c:v>1155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8-45B5-B616-53275494B113}"/>
            </c:ext>
          </c:extLst>
        </c:ser>
        <c:ser>
          <c:idx val="2"/>
          <c:order val="2"/>
          <c:tx>
            <c:strRef>
              <c:f>Maj!$B$16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Maj!$K$17:$K$20</c:f>
              <c:numCache>
                <c:formatCode>#,##0</c:formatCode>
                <c:ptCount val="4"/>
                <c:pt idx="0">
                  <c:v>315</c:v>
                </c:pt>
                <c:pt idx="1">
                  <c:v>313</c:v>
                </c:pt>
                <c:pt idx="2">
                  <c:v>805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E-418E-99B3-FFAF32816034}"/>
            </c:ext>
          </c:extLst>
        </c:ser>
        <c:ser>
          <c:idx val="3"/>
          <c:order val="3"/>
          <c:tx>
            <c:strRef>
              <c:f>Maj!$B$23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Maj!$K$24:$K$27</c:f>
              <c:numCache>
                <c:formatCode>#,##0</c:formatCode>
                <c:ptCount val="4"/>
                <c:pt idx="0">
                  <c:v>375</c:v>
                </c:pt>
                <c:pt idx="1">
                  <c:v>262</c:v>
                </c:pt>
                <c:pt idx="2">
                  <c:v>1127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D-4D5E-8A1C-9ECC4DFC9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Maj!$B$2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Maj!$C$7:$J$7</c:f>
              <c:numCache>
                <c:formatCode>#,##0</c:formatCode>
                <c:ptCount val="8"/>
                <c:pt idx="0">
                  <c:v>129</c:v>
                </c:pt>
                <c:pt idx="1">
                  <c:v>48</c:v>
                </c:pt>
                <c:pt idx="2">
                  <c:v>1</c:v>
                </c:pt>
                <c:pt idx="3">
                  <c:v>169</c:v>
                </c:pt>
                <c:pt idx="4">
                  <c:v>733</c:v>
                </c:pt>
                <c:pt idx="5">
                  <c:v>26</c:v>
                </c:pt>
                <c:pt idx="6">
                  <c:v>95</c:v>
                </c:pt>
                <c:pt idx="7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811-9A53-D10BE7196B82}"/>
            </c:ext>
          </c:extLst>
        </c:ser>
        <c:ser>
          <c:idx val="1"/>
          <c:order val="1"/>
          <c:tx>
            <c:strRef>
              <c:f>Maj!$B$9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Maj!$C$14:$J$14</c:f>
              <c:numCache>
                <c:formatCode>#,##0</c:formatCode>
                <c:ptCount val="8"/>
                <c:pt idx="0">
                  <c:v>226</c:v>
                </c:pt>
                <c:pt idx="1">
                  <c:v>18</c:v>
                </c:pt>
                <c:pt idx="2">
                  <c:v>15</c:v>
                </c:pt>
                <c:pt idx="3">
                  <c:v>142</c:v>
                </c:pt>
                <c:pt idx="4">
                  <c:v>822</c:v>
                </c:pt>
                <c:pt idx="5">
                  <c:v>33</c:v>
                </c:pt>
                <c:pt idx="6">
                  <c:v>178</c:v>
                </c:pt>
                <c:pt idx="7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811-9A53-D10BE7196B82}"/>
            </c:ext>
          </c:extLst>
        </c:ser>
        <c:ser>
          <c:idx val="2"/>
          <c:order val="2"/>
          <c:tx>
            <c:strRef>
              <c:f>Maj!$B$16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Maj!$C$21:$J$21</c:f>
              <c:numCache>
                <c:formatCode>#,##0</c:formatCode>
                <c:ptCount val="8"/>
                <c:pt idx="0">
                  <c:v>131</c:v>
                </c:pt>
                <c:pt idx="1">
                  <c:v>25</c:v>
                </c:pt>
                <c:pt idx="2">
                  <c:v>68</c:v>
                </c:pt>
                <c:pt idx="3">
                  <c:v>184</c:v>
                </c:pt>
                <c:pt idx="4">
                  <c:v>714</c:v>
                </c:pt>
                <c:pt idx="5">
                  <c:v>32</c:v>
                </c:pt>
                <c:pt idx="6">
                  <c:v>149</c:v>
                </c:pt>
                <c:pt idx="7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4-417B-94D7-3D387CC6CB7F}"/>
            </c:ext>
          </c:extLst>
        </c:ser>
        <c:ser>
          <c:idx val="3"/>
          <c:order val="3"/>
          <c:tx>
            <c:strRef>
              <c:f>Maj!$B$23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Maj!$C$28:$J$28</c:f>
              <c:numCache>
                <c:formatCode>#,##0</c:formatCode>
                <c:ptCount val="8"/>
                <c:pt idx="0">
                  <c:v>233</c:v>
                </c:pt>
                <c:pt idx="1">
                  <c:v>10</c:v>
                </c:pt>
                <c:pt idx="2">
                  <c:v>75</c:v>
                </c:pt>
                <c:pt idx="3">
                  <c:v>153</c:v>
                </c:pt>
                <c:pt idx="4">
                  <c:v>813</c:v>
                </c:pt>
                <c:pt idx="5">
                  <c:v>43</c:v>
                </c:pt>
                <c:pt idx="6">
                  <c:v>225</c:v>
                </c:pt>
                <c:pt idx="7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A-4EE4-ADA6-D0431F6ED2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Juni!$K$3:$K$6</c:f>
              <c:numCache>
                <c:formatCode>#,##0</c:formatCode>
                <c:ptCount val="4"/>
                <c:pt idx="0">
                  <c:v>432</c:v>
                </c:pt>
                <c:pt idx="1">
                  <c:v>799</c:v>
                </c:pt>
                <c:pt idx="2">
                  <c:v>2353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8-4048-92C7-A14EECECF0A3}"/>
            </c:ext>
          </c:extLst>
        </c:ser>
        <c:ser>
          <c:idx val="1"/>
          <c:order val="1"/>
          <c:tx>
            <c:strRef>
              <c:f>Juni!$B$9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Juni!$K$10:$K$13</c:f>
              <c:numCache>
                <c:formatCode>#,##0</c:formatCode>
                <c:ptCount val="4"/>
                <c:pt idx="0">
                  <c:v>358</c:v>
                </c:pt>
                <c:pt idx="1">
                  <c:v>727</c:v>
                </c:pt>
                <c:pt idx="2">
                  <c:v>2657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8-4048-92C7-A14EECECF0A3}"/>
            </c:ext>
          </c:extLst>
        </c:ser>
        <c:ser>
          <c:idx val="2"/>
          <c:order val="2"/>
          <c:tx>
            <c:strRef>
              <c:f>Juni!$B$16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Juni!$K$17:$K$20</c:f>
              <c:numCache>
                <c:formatCode>#,##0</c:formatCode>
                <c:ptCount val="4"/>
                <c:pt idx="0">
                  <c:v>382</c:v>
                </c:pt>
                <c:pt idx="1">
                  <c:v>764</c:v>
                </c:pt>
                <c:pt idx="2">
                  <c:v>2626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9-48C4-AC4D-073D7121F43A}"/>
            </c:ext>
          </c:extLst>
        </c:ser>
        <c:ser>
          <c:idx val="3"/>
          <c:order val="3"/>
          <c:tx>
            <c:strRef>
              <c:f>Juni!$B$23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Juni!$K$24:$K$27</c:f>
              <c:numCache>
                <c:formatCode>#,##0</c:formatCode>
                <c:ptCount val="4"/>
                <c:pt idx="0">
                  <c:v>692</c:v>
                </c:pt>
                <c:pt idx="1">
                  <c:v>724</c:v>
                </c:pt>
                <c:pt idx="2">
                  <c:v>2779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C-4DF9-BB27-B31B7410FD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DA-430B-81F1-43D71D95A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Juni!$C$7:$J$7</c:f>
              <c:numCache>
                <c:formatCode>#,##0</c:formatCode>
                <c:ptCount val="8"/>
                <c:pt idx="0">
                  <c:v>298</c:v>
                </c:pt>
                <c:pt idx="1">
                  <c:v>70</c:v>
                </c:pt>
                <c:pt idx="2">
                  <c:v>7</c:v>
                </c:pt>
                <c:pt idx="3">
                  <c:v>347</c:v>
                </c:pt>
                <c:pt idx="4">
                  <c:v>1892</c:v>
                </c:pt>
                <c:pt idx="5">
                  <c:v>72</c:v>
                </c:pt>
                <c:pt idx="6">
                  <c:v>331</c:v>
                </c:pt>
                <c:pt idx="7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C5-A757-C14676126376}"/>
            </c:ext>
          </c:extLst>
        </c:ser>
        <c:ser>
          <c:idx val="1"/>
          <c:order val="1"/>
          <c:tx>
            <c:strRef>
              <c:f>Juni!$B$9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DA-430B-81F1-43D71D95A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Juni!$C$14:$J$14</c:f>
              <c:numCache>
                <c:formatCode>#,##0</c:formatCode>
                <c:ptCount val="8"/>
                <c:pt idx="0">
                  <c:v>364</c:v>
                </c:pt>
                <c:pt idx="1">
                  <c:v>46</c:v>
                </c:pt>
                <c:pt idx="2">
                  <c:v>98</c:v>
                </c:pt>
                <c:pt idx="3">
                  <c:v>343</c:v>
                </c:pt>
                <c:pt idx="4">
                  <c:v>1836</c:v>
                </c:pt>
                <c:pt idx="5">
                  <c:v>66</c:v>
                </c:pt>
                <c:pt idx="6">
                  <c:v>371</c:v>
                </c:pt>
                <c:pt idx="7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D-46C5-A757-C14676126376}"/>
            </c:ext>
          </c:extLst>
        </c:ser>
        <c:ser>
          <c:idx val="2"/>
          <c:order val="2"/>
          <c:tx>
            <c:strRef>
              <c:f>Juni!$B$16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Juni!$C$21:$J$21</c:f>
              <c:numCache>
                <c:formatCode>#,##0</c:formatCode>
                <c:ptCount val="8"/>
                <c:pt idx="0">
                  <c:v>188</c:v>
                </c:pt>
                <c:pt idx="1">
                  <c:v>53</c:v>
                </c:pt>
                <c:pt idx="2">
                  <c:v>163</c:v>
                </c:pt>
                <c:pt idx="3">
                  <c:v>318</c:v>
                </c:pt>
                <c:pt idx="4">
                  <c:v>2011</c:v>
                </c:pt>
                <c:pt idx="5">
                  <c:v>34</c:v>
                </c:pt>
                <c:pt idx="6">
                  <c:v>405</c:v>
                </c:pt>
                <c:pt idx="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F-49A7-A4A5-7BE1DE353B99}"/>
            </c:ext>
          </c:extLst>
        </c:ser>
        <c:ser>
          <c:idx val="3"/>
          <c:order val="3"/>
          <c:tx>
            <c:strRef>
              <c:f>Juni!$B$23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Juni!$C$28:$J$28</c:f>
              <c:numCache>
                <c:formatCode>#,##0</c:formatCode>
                <c:ptCount val="8"/>
                <c:pt idx="0">
                  <c:v>326</c:v>
                </c:pt>
                <c:pt idx="1">
                  <c:v>46</c:v>
                </c:pt>
                <c:pt idx="2">
                  <c:v>135</c:v>
                </c:pt>
                <c:pt idx="3">
                  <c:v>433</c:v>
                </c:pt>
                <c:pt idx="4">
                  <c:v>1984</c:v>
                </c:pt>
                <c:pt idx="5">
                  <c:v>81</c:v>
                </c:pt>
                <c:pt idx="6">
                  <c:v>484</c:v>
                </c:pt>
                <c:pt idx="7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D-4583-812F-E776FD0168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Juli!$K$3:$K$6</c:f>
              <c:numCache>
                <c:formatCode>#,##0</c:formatCode>
                <c:ptCount val="4"/>
                <c:pt idx="0">
                  <c:v>801</c:v>
                </c:pt>
                <c:pt idx="1">
                  <c:v>2459</c:v>
                </c:pt>
                <c:pt idx="2">
                  <c:v>7245</c:v>
                </c:pt>
                <c:pt idx="3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9-4BB0-9944-ACE7C5A1E7F4}"/>
            </c:ext>
          </c:extLst>
        </c:ser>
        <c:ser>
          <c:idx val="1"/>
          <c:order val="1"/>
          <c:tx>
            <c:strRef>
              <c:f>Juli!$B$9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Juli!$K$10:$K$13</c:f>
              <c:numCache>
                <c:formatCode>#,##0</c:formatCode>
                <c:ptCount val="4"/>
                <c:pt idx="0">
                  <c:v>674</c:v>
                </c:pt>
                <c:pt idx="1">
                  <c:v>2060</c:v>
                </c:pt>
                <c:pt idx="2">
                  <c:v>6413</c:v>
                </c:pt>
                <c:pt idx="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9-4BB0-9944-ACE7C5A1E7F4}"/>
            </c:ext>
          </c:extLst>
        </c:ser>
        <c:ser>
          <c:idx val="2"/>
          <c:order val="2"/>
          <c:tx>
            <c:strRef>
              <c:f>Juli!$B$16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Juli!$K$17:$K$20</c:f>
              <c:numCache>
                <c:formatCode>#,##0</c:formatCode>
                <c:ptCount val="4"/>
                <c:pt idx="0">
                  <c:v>828</c:v>
                </c:pt>
                <c:pt idx="1">
                  <c:v>2241</c:v>
                </c:pt>
                <c:pt idx="2">
                  <c:v>6000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3-4E82-8A33-58159C37BA1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Juli!$K$24:$K$27</c:f>
              <c:numCache>
                <c:formatCode>#,##0</c:formatCode>
                <c:ptCount val="4"/>
                <c:pt idx="0">
                  <c:v>1295</c:v>
                </c:pt>
                <c:pt idx="1">
                  <c:v>2719</c:v>
                </c:pt>
                <c:pt idx="2">
                  <c:v>6715</c:v>
                </c:pt>
                <c:pt idx="3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C-4839-9DC9-4B1D1851E5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F3-4544-BCC2-EBD259321C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Juli!$C$7:$J$7</c:f>
              <c:numCache>
                <c:formatCode>#,##0</c:formatCode>
                <c:ptCount val="8"/>
                <c:pt idx="0">
                  <c:v>1093</c:v>
                </c:pt>
                <c:pt idx="1">
                  <c:v>223</c:v>
                </c:pt>
                <c:pt idx="2">
                  <c:v>29</c:v>
                </c:pt>
                <c:pt idx="3">
                  <c:v>1213</c:v>
                </c:pt>
                <c:pt idx="4">
                  <c:v>3794</c:v>
                </c:pt>
                <c:pt idx="5">
                  <c:v>172</c:v>
                </c:pt>
                <c:pt idx="6">
                  <c:v>1526</c:v>
                </c:pt>
                <c:pt idx="7">
                  <c:v>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3-4544-BCC2-EBD259321C25}"/>
            </c:ext>
          </c:extLst>
        </c:ser>
        <c:ser>
          <c:idx val="1"/>
          <c:order val="1"/>
          <c:tx>
            <c:strRef>
              <c:f>Juli!$B$9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F3-4544-BCC2-EBD259321C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Juli!$C$14:$J$14</c:f>
              <c:numCache>
                <c:formatCode>#,##0</c:formatCode>
                <c:ptCount val="8"/>
                <c:pt idx="0">
                  <c:v>913</c:v>
                </c:pt>
                <c:pt idx="1">
                  <c:v>125</c:v>
                </c:pt>
                <c:pt idx="2">
                  <c:v>245</c:v>
                </c:pt>
                <c:pt idx="3">
                  <c:v>936</c:v>
                </c:pt>
                <c:pt idx="4">
                  <c:v>3414</c:v>
                </c:pt>
                <c:pt idx="5">
                  <c:v>165</c:v>
                </c:pt>
                <c:pt idx="6">
                  <c:v>1180</c:v>
                </c:pt>
                <c:pt idx="7">
                  <c:v>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F3-4544-BCC2-EBD259321C25}"/>
            </c:ext>
          </c:extLst>
        </c:ser>
        <c:ser>
          <c:idx val="2"/>
          <c:order val="2"/>
          <c:tx>
            <c:strRef>
              <c:f>Juli!$B$16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Juli!$C$21:$J$21</c:f>
              <c:numCache>
                <c:formatCode>#,##0</c:formatCode>
                <c:ptCount val="8"/>
                <c:pt idx="0">
                  <c:v>764</c:v>
                </c:pt>
                <c:pt idx="1">
                  <c:v>136</c:v>
                </c:pt>
                <c:pt idx="2">
                  <c:v>359</c:v>
                </c:pt>
                <c:pt idx="3">
                  <c:v>861</c:v>
                </c:pt>
                <c:pt idx="4">
                  <c:v>3500</c:v>
                </c:pt>
                <c:pt idx="5">
                  <c:v>210</c:v>
                </c:pt>
                <c:pt idx="6">
                  <c:v>1236</c:v>
                </c:pt>
                <c:pt idx="7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4-4059-A1C9-44A9CC66477A}"/>
            </c:ext>
          </c:extLst>
        </c:ser>
        <c:ser>
          <c:idx val="3"/>
          <c:order val="3"/>
          <c:tx>
            <c:strRef>
              <c:f>Juli!$B$23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Juli!$C$28:$J$28</c:f>
              <c:numCache>
                <c:formatCode>#,##0</c:formatCode>
                <c:ptCount val="8"/>
                <c:pt idx="0">
                  <c:v>1042</c:v>
                </c:pt>
                <c:pt idx="1">
                  <c:v>157</c:v>
                </c:pt>
                <c:pt idx="2">
                  <c:v>346</c:v>
                </c:pt>
                <c:pt idx="3">
                  <c:v>968</c:v>
                </c:pt>
                <c:pt idx="4">
                  <c:v>4029</c:v>
                </c:pt>
                <c:pt idx="5">
                  <c:v>194</c:v>
                </c:pt>
                <c:pt idx="6">
                  <c:v>1453</c:v>
                </c:pt>
                <c:pt idx="7">
                  <c:v>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8-4650-8ED4-6EDE5A9AD2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August!$B$2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August!$B$3:$B$6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August!$K$3:$K$6</c:f>
              <c:numCache>
                <c:formatCode>#,##0</c:formatCode>
                <c:ptCount val="4"/>
                <c:pt idx="0">
                  <c:v>659</c:v>
                </c:pt>
                <c:pt idx="1">
                  <c:v>1019</c:v>
                </c:pt>
                <c:pt idx="2">
                  <c:v>3357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C-497E-9BA9-A89B20E5AC22}"/>
            </c:ext>
          </c:extLst>
        </c:ser>
        <c:ser>
          <c:idx val="1"/>
          <c:order val="1"/>
          <c:tx>
            <c:strRef>
              <c:f>August!$B$9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August!$B$3:$B$6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August!$K$10:$K$13</c:f>
              <c:numCache>
                <c:formatCode>#,##0</c:formatCode>
                <c:ptCount val="4"/>
                <c:pt idx="0">
                  <c:v>590</c:v>
                </c:pt>
                <c:pt idx="1">
                  <c:v>1059</c:v>
                </c:pt>
                <c:pt idx="2">
                  <c:v>3526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C-497E-9BA9-A89B20E5AC22}"/>
            </c:ext>
          </c:extLst>
        </c:ser>
        <c:ser>
          <c:idx val="2"/>
          <c:order val="2"/>
          <c:tx>
            <c:strRef>
              <c:f>August!$B$16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August!$K$17:$K$20</c:f>
              <c:numCache>
                <c:formatCode>#,##0</c:formatCode>
                <c:ptCount val="4"/>
                <c:pt idx="0">
                  <c:v>763</c:v>
                </c:pt>
                <c:pt idx="1">
                  <c:v>1253</c:v>
                </c:pt>
                <c:pt idx="2">
                  <c:v>3921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9-4356-98F3-1FCE421A3B05}"/>
            </c:ext>
          </c:extLst>
        </c:ser>
        <c:ser>
          <c:idx val="3"/>
          <c:order val="3"/>
          <c:tx>
            <c:strRef>
              <c:f>August!$B$23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August!$K$24:$K$27</c:f>
              <c:numCache>
                <c:formatCode>#,##0</c:formatCode>
                <c:ptCount val="4"/>
                <c:pt idx="0">
                  <c:v>1339</c:v>
                </c:pt>
                <c:pt idx="1">
                  <c:v>1388</c:v>
                </c:pt>
                <c:pt idx="2">
                  <c:v>4427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A0C-9EA4-C55239866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August!$B$2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5-4FE4-9F19-BF6A8EDB34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August!$C$2:$J$2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August!$C$7:$J$7</c:f>
              <c:numCache>
                <c:formatCode>#,##0</c:formatCode>
                <c:ptCount val="8"/>
                <c:pt idx="0">
                  <c:v>488</c:v>
                </c:pt>
                <c:pt idx="1">
                  <c:v>101</c:v>
                </c:pt>
                <c:pt idx="2">
                  <c:v>6</c:v>
                </c:pt>
                <c:pt idx="3">
                  <c:v>675</c:v>
                </c:pt>
                <c:pt idx="4">
                  <c:v>2429</c:v>
                </c:pt>
                <c:pt idx="5">
                  <c:v>60</c:v>
                </c:pt>
                <c:pt idx="6">
                  <c:v>557</c:v>
                </c:pt>
                <c:pt idx="7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5-4FE4-9F19-BF6A8EDB3419}"/>
            </c:ext>
          </c:extLst>
        </c:ser>
        <c:ser>
          <c:idx val="1"/>
          <c:order val="1"/>
          <c:tx>
            <c:strRef>
              <c:f>August!$B$9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15-4FE4-9F19-BF6A8EDB34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August!$C$2:$J$2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August!$C$14:$J$14</c:f>
              <c:numCache>
                <c:formatCode>#,##0</c:formatCode>
                <c:ptCount val="8"/>
                <c:pt idx="0">
                  <c:v>438</c:v>
                </c:pt>
                <c:pt idx="1">
                  <c:v>48</c:v>
                </c:pt>
                <c:pt idx="2">
                  <c:v>224</c:v>
                </c:pt>
                <c:pt idx="3">
                  <c:v>430</c:v>
                </c:pt>
                <c:pt idx="4">
                  <c:v>2548</c:v>
                </c:pt>
                <c:pt idx="5">
                  <c:v>100</c:v>
                </c:pt>
                <c:pt idx="6">
                  <c:v>544</c:v>
                </c:pt>
                <c:pt idx="7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15-4FE4-9F19-BF6A8EDB3419}"/>
            </c:ext>
          </c:extLst>
        </c:ser>
        <c:ser>
          <c:idx val="2"/>
          <c:order val="2"/>
          <c:tx>
            <c:strRef>
              <c:f>August!$B$16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August!$C$2:$J$2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August!$C$21:$J$21</c:f>
              <c:numCache>
                <c:formatCode>#,##0</c:formatCode>
                <c:ptCount val="8"/>
                <c:pt idx="0">
                  <c:v>435</c:v>
                </c:pt>
                <c:pt idx="1">
                  <c:v>85</c:v>
                </c:pt>
                <c:pt idx="2">
                  <c:v>282</c:v>
                </c:pt>
                <c:pt idx="3">
                  <c:v>501</c:v>
                </c:pt>
                <c:pt idx="4">
                  <c:v>2878</c:v>
                </c:pt>
                <c:pt idx="5">
                  <c:v>89</c:v>
                </c:pt>
                <c:pt idx="6">
                  <c:v>705</c:v>
                </c:pt>
                <c:pt idx="7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4-4286-9E50-01D114F58AC1}"/>
            </c:ext>
          </c:extLst>
        </c:ser>
        <c:ser>
          <c:idx val="3"/>
          <c:order val="3"/>
          <c:tx>
            <c:strRef>
              <c:f>August!$B$23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August!$C$28:$J$28</c:f>
              <c:numCache>
                <c:formatCode>#,##0</c:formatCode>
                <c:ptCount val="8"/>
                <c:pt idx="0">
                  <c:v>600</c:v>
                </c:pt>
                <c:pt idx="1">
                  <c:v>95</c:v>
                </c:pt>
                <c:pt idx="2">
                  <c:v>186</c:v>
                </c:pt>
                <c:pt idx="3">
                  <c:v>651</c:v>
                </c:pt>
                <c:pt idx="4">
                  <c:v>3411</c:v>
                </c:pt>
                <c:pt idx="5">
                  <c:v>103</c:v>
                </c:pt>
                <c:pt idx="6">
                  <c:v>807</c:v>
                </c:pt>
                <c:pt idx="7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5-4541-BE40-D319727650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September!$B$2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September!$B$3:$B$6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September!$K$3:$K$6</c:f>
              <c:numCache>
                <c:formatCode>#,##0</c:formatCode>
                <c:ptCount val="4"/>
                <c:pt idx="0">
                  <c:v>305</c:v>
                </c:pt>
                <c:pt idx="1">
                  <c:v>155</c:v>
                </c:pt>
                <c:pt idx="2">
                  <c:v>491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8-4344-AC48-21263F22CDA3}"/>
            </c:ext>
          </c:extLst>
        </c:ser>
        <c:ser>
          <c:idx val="1"/>
          <c:order val="1"/>
          <c:tx>
            <c:strRef>
              <c:f>September!$B$9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September!$B$3:$B$6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September!$K$10:$K$13</c:f>
              <c:numCache>
                <c:formatCode>#,##0</c:formatCode>
                <c:ptCount val="4"/>
                <c:pt idx="0">
                  <c:v>304</c:v>
                </c:pt>
                <c:pt idx="1">
                  <c:v>266</c:v>
                </c:pt>
                <c:pt idx="2">
                  <c:v>773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8-4344-AC48-21263F22CDA3}"/>
            </c:ext>
          </c:extLst>
        </c:ser>
        <c:ser>
          <c:idx val="2"/>
          <c:order val="2"/>
          <c:tx>
            <c:strRef>
              <c:f>September!$B$16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September!$K$17:$K$20</c:f>
              <c:numCache>
                <c:formatCode>#,##0</c:formatCode>
                <c:ptCount val="4"/>
                <c:pt idx="0">
                  <c:v>501</c:v>
                </c:pt>
                <c:pt idx="1">
                  <c:v>207</c:v>
                </c:pt>
                <c:pt idx="2">
                  <c:v>726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C-4444-B5F1-4AB66AD887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Samlet!$B$2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78-4F27-8756-B19D5F816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Samlet!$C$7:$J$7</c:f>
              <c:numCache>
                <c:formatCode>#,##0</c:formatCode>
                <c:ptCount val="8"/>
                <c:pt idx="0">
                  <c:v>2390</c:v>
                </c:pt>
                <c:pt idx="1">
                  <c:v>502</c:v>
                </c:pt>
                <c:pt idx="2">
                  <c:v>55</c:v>
                </c:pt>
                <c:pt idx="3">
                  <c:v>2701</c:v>
                </c:pt>
                <c:pt idx="4">
                  <c:v>9577</c:v>
                </c:pt>
                <c:pt idx="5">
                  <c:v>396</c:v>
                </c:pt>
                <c:pt idx="6">
                  <c:v>2779</c:v>
                </c:pt>
                <c:pt idx="7">
                  <c:v>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8-4F27-8756-B19D5F8163A2}"/>
            </c:ext>
          </c:extLst>
        </c:ser>
        <c:ser>
          <c:idx val="1"/>
          <c:order val="1"/>
          <c:tx>
            <c:strRef>
              <c:f>Samlet!$B$9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8-4F27-8756-B19D5F816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Samlet!$C$14:$J$14</c:f>
              <c:numCache>
                <c:formatCode>#,##0</c:formatCode>
                <c:ptCount val="8"/>
                <c:pt idx="0">
                  <c:v>2224</c:v>
                </c:pt>
                <c:pt idx="1">
                  <c:v>283</c:v>
                </c:pt>
                <c:pt idx="2">
                  <c:v>647</c:v>
                </c:pt>
                <c:pt idx="3">
                  <c:v>2071</c:v>
                </c:pt>
                <c:pt idx="4">
                  <c:v>9450</c:v>
                </c:pt>
                <c:pt idx="5">
                  <c:v>441</c:v>
                </c:pt>
                <c:pt idx="6">
                  <c:v>2558</c:v>
                </c:pt>
                <c:pt idx="7">
                  <c:v>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78-4F27-8756-B19D5F8163A2}"/>
            </c:ext>
          </c:extLst>
        </c:ser>
        <c:ser>
          <c:idx val="2"/>
          <c:order val="2"/>
          <c:tx>
            <c:strRef>
              <c:f>Samlet!$B$16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Samlet!$C$21:$J$21</c:f>
              <c:numCache>
                <c:formatCode>#,##0</c:formatCode>
                <c:ptCount val="8"/>
                <c:pt idx="0">
                  <c:v>1758</c:v>
                </c:pt>
                <c:pt idx="1">
                  <c:v>332</c:v>
                </c:pt>
                <c:pt idx="2">
                  <c:v>1002</c:v>
                </c:pt>
                <c:pt idx="3">
                  <c:v>2074</c:v>
                </c:pt>
                <c:pt idx="4">
                  <c:v>9871</c:v>
                </c:pt>
                <c:pt idx="5">
                  <c:v>415</c:v>
                </c:pt>
                <c:pt idx="6">
                  <c:v>2975</c:v>
                </c:pt>
                <c:pt idx="7">
                  <c:v>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C-46D6-828C-1E7ED840E9A0}"/>
            </c:ext>
          </c:extLst>
        </c:ser>
        <c:ser>
          <c:idx val="3"/>
          <c:order val="3"/>
          <c:tx>
            <c:strRef>
              <c:f>Samlet!$B$23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Samlet!$C$28:$J$28</c:f>
              <c:numCache>
                <c:formatCode>#,##0</c:formatCode>
                <c:ptCount val="8"/>
                <c:pt idx="0">
                  <c:v>2500</c:v>
                </c:pt>
                <c:pt idx="1">
                  <c:v>348</c:v>
                </c:pt>
                <c:pt idx="2">
                  <c:v>894</c:v>
                </c:pt>
                <c:pt idx="3">
                  <c:v>2450</c:v>
                </c:pt>
                <c:pt idx="4">
                  <c:v>11162</c:v>
                </c:pt>
                <c:pt idx="5">
                  <c:v>488</c:v>
                </c:pt>
                <c:pt idx="6">
                  <c:v>3399</c:v>
                </c:pt>
                <c:pt idx="7">
                  <c:v>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C-4866-AD6F-C35931F821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September!$B$2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9-4134-9E71-7D314288A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September!$C$7:$J$7</c:f>
              <c:numCache>
                <c:formatCode>#,##0</c:formatCode>
                <c:ptCount val="8"/>
                <c:pt idx="0">
                  <c:v>155</c:v>
                </c:pt>
                <c:pt idx="1">
                  <c:v>24</c:v>
                </c:pt>
                <c:pt idx="2">
                  <c:v>1</c:v>
                </c:pt>
                <c:pt idx="3">
                  <c:v>123</c:v>
                </c:pt>
                <c:pt idx="4">
                  <c:v>372</c:v>
                </c:pt>
                <c:pt idx="5">
                  <c:v>27</c:v>
                </c:pt>
                <c:pt idx="6">
                  <c:v>133</c:v>
                </c:pt>
                <c:pt idx="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9-4134-9E71-7D314288A300}"/>
            </c:ext>
          </c:extLst>
        </c:ser>
        <c:ser>
          <c:idx val="1"/>
          <c:order val="1"/>
          <c:tx>
            <c:strRef>
              <c:f>September!$B$9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9-4134-9E71-7D314288A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September!$C$14:$J$14</c:f>
              <c:numCache>
                <c:formatCode>#,##0</c:formatCode>
                <c:ptCount val="8"/>
                <c:pt idx="0">
                  <c:v>152</c:v>
                </c:pt>
                <c:pt idx="1">
                  <c:v>17</c:v>
                </c:pt>
                <c:pt idx="2">
                  <c:v>54</c:v>
                </c:pt>
                <c:pt idx="3">
                  <c:v>123</c:v>
                </c:pt>
                <c:pt idx="4">
                  <c:v>598</c:v>
                </c:pt>
                <c:pt idx="5">
                  <c:v>32</c:v>
                </c:pt>
                <c:pt idx="6">
                  <c:v>187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9-4134-9E71-7D314288A300}"/>
            </c:ext>
          </c:extLst>
        </c:ser>
        <c:ser>
          <c:idx val="2"/>
          <c:order val="2"/>
          <c:tx>
            <c:strRef>
              <c:f>September!$B$16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September!$C$21:$J$21</c:f>
              <c:numCache>
                <c:formatCode>#,##0</c:formatCode>
                <c:ptCount val="8"/>
                <c:pt idx="0">
                  <c:v>162</c:v>
                </c:pt>
                <c:pt idx="1">
                  <c:v>12</c:v>
                </c:pt>
                <c:pt idx="2">
                  <c:v>90</c:v>
                </c:pt>
                <c:pt idx="3">
                  <c:v>114</c:v>
                </c:pt>
                <c:pt idx="4">
                  <c:v>560</c:v>
                </c:pt>
                <c:pt idx="5">
                  <c:v>23</c:v>
                </c:pt>
                <c:pt idx="6">
                  <c:v>281</c:v>
                </c:pt>
                <c:pt idx="7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471-B134-CE98704155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Oktober!$B$3:$B$6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Oktober!$K$3:$K$6</c:f>
              <c:numCache>
                <c:formatCode>#,##0</c:formatCode>
                <c:ptCount val="4"/>
                <c:pt idx="0">
                  <c:v>134</c:v>
                </c:pt>
                <c:pt idx="1">
                  <c:v>38</c:v>
                </c:pt>
                <c:pt idx="2">
                  <c:v>123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0-4DDC-A89A-CA6CCB3BDDE8}"/>
            </c:ext>
          </c:extLst>
        </c:ser>
        <c:ser>
          <c:idx val="1"/>
          <c:order val="1"/>
          <c:tx>
            <c:strRef>
              <c:f>Oktober!$B$9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Oktober!$B$3:$B$6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Oktober!$K$10:$K$13</c:f>
              <c:numCache>
                <c:formatCode>#,##0</c:formatCode>
                <c:ptCount val="4"/>
                <c:pt idx="0">
                  <c:v>79</c:v>
                </c:pt>
                <c:pt idx="1">
                  <c:v>32</c:v>
                </c:pt>
                <c:pt idx="2">
                  <c:v>105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0-4DDC-A89A-CA6CCB3BDDE8}"/>
            </c:ext>
          </c:extLst>
        </c:ser>
        <c:ser>
          <c:idx val="2"/>
          <c:order val="2"/>
          <c:tx>
            <c:strRef>
              <c:f>Oktober!$B$16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Oktober!$K$17:$K$20</c:f>
              <c:numCache>
                <c:formatCode>#,##0</c:formatCode>
                <c:ptCount val="4"/>
                <c:pt idx="0">
                  <c:v>180</c:v>
                </c:pt>
                <c:pt idx="1">
                  <c:v>31</c:v>
                </c:pt>
                <c:pt idx="2">
                  <c:v>99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A-4A2E-B7FC-35F60DA14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7E-47FE-887F-4FBE1DD3A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Oktober!$C$2:$J$2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Oktober!$C$7:$J$7</c:f>
              <c:numCache>
                <c:formatCode>#,##0</c:formatCode>
                <c:ptCount val="8"/>
                <c:pt idx="0">
                  <c:v>67</c:v>
                </c:pt>
                <c:pt idx="1">
                  <c:v>7</c:v>
                </c:pt>
                <c:pt idx="2">
                  <c:v>0</c:v>
                </c:pt>
                <c:pt idx="3">
                  <c:v>39</c:v>
                </c:pt>
                <c:pt idx="4">
                  <c:v>81</c:v>
                </c:pt>
                <c:pt idx="5">
                  <c:v>18</c:v>
                </c:pt>
                <c:pt idx="6">
                  <c:v>52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E-47FE-887F-4FBE1DD3A4A4}"/>
            </c:ext>
          </c:extLst>
        </c:ser>
        <c:ser>
          <c:idx val="1"/>
          <c:order val="1"/>
          <c:tx>
            <c:strRef>
              <c:f>Oktober!$B$9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7E-47FE-887F-4FBE1DD3A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Oktober!$C$2:$J$2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Oktober!$C$14:$J$14</c:f>
              <c:numCache>
                <c:formatCode>#,##0</c:formatCode>
                <c:ptCount val="8"/>
                <c:pt idx="0">
                  <c:v>26</c:v>
                </c:pt>
                <c:pt idx="1">
                  <c:v>2</c:v>
                </c:pt>
                <c:pt idx="2">
                  <c:v>3</c:v>
                </c:pt>
                <c:pt idx="3">
                  <c:v>40</c:v>
                </c:pt>
                <c:pt idx="4">
                  <c:v>51</c:v>
                </c:pt>
                <c:pt idx="5">
                  <c:v>15</c:v>
                </c:pt>
                <c:pt idx="6">
                  <c:v>44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7E-47FE-887F-4FBE1DD3A4A4}"/>
            </c:ext>
          </c:extLst>
        </c:ser>
        <c:ser>
          <c:idx val="2"/>
          <c:order val="2"/>
          <c:tx>
            <c:strRef>
              <c:f>Oktober!$B$16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Oktober!$C$2:$J$2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Oktober!$C$21:$J$21</c:f>
              <c:numCache>
                <c:formatCode>#,##0</c:formatCode>
                <c:ptCount val="8"/>
                <c:pt idx="0">
                  <c:v>34</c:v>
                </c:pt>
                <c:pt idx="1">
                  <c:v>4</c:v>
                </c:pt>
                <c:pt idx="2">
                  <c:v>22</c:v>
                </c:pt>
                <c:pt idx="3">
                  <c:v>45</c:v>
                </c:pt>
                <c:pt idx="4">
                  <c:v>72</c:v>
                </c:pt>
                <c:pt idx="5">
                  <c:v>3</c:v>
                </c:pt>
                <c:pt idx="6">
                  <c:v>96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0-4CD7-8E28-C10D94AA1B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November!$B$3:$B$6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November!$K$3:$K$6</c:f>
              <c:numCache>
                <c:formatCode>#,##0</c:formatCode>
                <c:ptCount val="4"/>
                <c:pt idx="0">
                  <c:v>29</c:v>
                </c:pt>
                <c:pt idx="1">
                  <c:v>17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6-4A99-9EF7-BBAAB3FD439C}"/>
            </c:ext>
          </c:extLst>
        </c:ser>
        <c:ser>
          <c:idx val="1"/>
          <c:order val="1"/>
          <c:tx>
            <c:strRef>
              <c:f>November!$B$9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November!$B$3:$B$6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November!$K$10:$K$13</c:f>
              <c:numCache>
                <c:formatCode>#,##0</c:formatCode>
                <c:ptCount val="4"/>
                <c:pt idx="0">
                  <c:v>12</c:v>
                </c:pt>
                <c:pt idx="1">
                  <c:v>2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6-4A99-9EF7-BBAAB3FD439C}"/>
            </c:ext>
          </c:extLst>
        </c:ser>
        <c:ser>
          <c:idx val="2"/>
          <c:order val="2"/>
          <c:tx>
            <c:strRef>
              <c:f>November!$B$16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November!$K$17:$K$20</c:f>
              <c:numCache>
                <c:formatCode>#,##0</c:formatCode>
                <c:ptCount val="4"/>
                <c:pt idx="0">
                  <c:v>54</c:v>
                </c:pt>
                <c:pt idx="1">
                  <c:v>11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8-4E1D-9FDF-813F6CD76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7A-41BA-9777-910BC75B4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November!$C$7:$J$7</c:f>
              <c:numCache>
                <c:formatCode>#,##0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10</c:v>
                </c:pt>
                <c:pt idx="3">
                  <c:v>2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A-41BA-9777-910BC75B4979}"/>
            </c:ext>
          </c:extLst>
        </c:ser>
        <c:ser>
          <c:idx val="1"/>
          <c:order val="1"/>
          <c:tx>
            <c:strRef>
              <c:f>November!$B$9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7A-41BA-9777-910BC75B4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November!$C$14:$J$14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7A-41BA-9777-910BC75B4979}"/>
            </c:ext>
          </c:extLst>
        </c:ser>
        <c:ser>
          <c:idx val="2"/>
          <c:order val="2"/>
          <c:tx>
            <c:strRef>
              <c:f>November!$B$16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November!$C$21:$J$21</c:f>
              <c:numCache>
                <c:formatCode>#,##0</c:formatCode>
                <c:ptCount val="8"/>
                <c:pt idx="0">
                  <c:v>20</c:v>
                </c:pt>
                <c:pt idx="1">
                  <c:v>1</c:v>
                </c:pt>
                <c:pt idx="2">
                  <c:v>8</c:v>
                </c:pt>
                <c:pt idx="3">
                  <c:v>10</c:v>
                </c:pt>
                <c:pt idx="4">
                  <c:v>3</c:v>
                </c:pt>
                <c:pt idx="5">
                  <c:v>1</c:v>
                </c:pt>
                <c:pt idx="6">
                  <c:v>29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2-469A-A176-8E51D74334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December!$B$2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December!$B$3:$B$6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December!$K$3:$K$6</c:f>
              <c:numCache>
                <c:formatCode>#,##0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F-4661-95F5-8FAF19CF69AB}"/>
            </c:ext>
          </c:extLst>
        </c:ser>
        <c:ser>
          <c:idx val="1"/>
          <c:order val="1"/>
          <c:tx>
            <c:strRef>
              <c:f>December!$B$9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December!$B$3:$B$6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December!$K$10:$K$13</c:f>
              <c:numCache>
                <c:formatCode>#,##0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F-4661-95F5-8FAF19CF69AB}"/>
            </c:ext>
          </c:extLst>
        </c:ser>
        <c:ser>
          <c:idx val="2"/>
          <c:order val="2"/>
          <c:tx>
            <c:strRef>
              <c:f>December!$B$16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December!$K$17:$K$20</c:f>
              <c:numCache>
                <c:formatCode>#,##0</c:formatCode>
                <c:ptCount val="4"/>
                <c:pt idx="0">
                  <c:v>29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8-4594-A6B2-8A19292D8E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December!$B$2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4A-40D4-B9E2-D8A083A56B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December!$C$2:$J$2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December!$C$7:$J$7</c:f>
              <c:numCache>
                <c:formatCode>#,##0</c:formatCode>
                <c:ptCount val="8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A-40D4-B9E2-D8A083A56BD8}"/>
            </c:ext>
          </c:extLst>
        </c:ser>
        <c:ser>
          <c:idx val="1"/>
          <c:order val="1"/>
          <c:tx>
            <c:strRef>
              <c:f>December!$B$9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4A-40D4-B9E2-D8A083A56B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December!$C$2:$J$2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December!$C$14:$J$14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4A-40D4-B9E2-D8A083A56BD8}"/>
            </c:ext>
          </c:extLst>
        </c:ser>
        <c:ser>
          <c:idx val="2"/>
          <c:order val="2"/>
          <c:tx>
            <c:strRef>
              <c:f>December!$B$16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December!$C$2:$J$2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December!$C$21:$J$21</c:f>
              <c:numCache>
                <c:formatCode>#,##0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8-48AD-BAAB-9B0484D105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'Version 2.0'!$L$3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'Version 2.0'!$M$3:$M$10</c:f>
              <c:strCache>
                <c:ptCount val="8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</c:strCache>
            </c:strRef>
          </c:cat>
          <c:val>
            <c:numRef>
              <c:f>'Version 2.0'!$R$3:$R$10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12</c:v>
                </c:pt>
                <c:pt idx="4">
                  <c:v>26</c:v>
                </c:pt>
                <c:pt idx="5">
                  <c:v>72</c:v>
                </c:pt>
                <c:pt idx="6">
                  <c:v>172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1-4E47-8CA5-A47197E06B01}"/>
            </c:ext>
          </c:extLst>
        </c:ser>
        <c:ser>
          <c:idx val="1"/>
          <c:order val="1"/>
          <c:tx>
            <c:strRef>
              <c:f>'Version 2.0'!$L$12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'Version 2.0'!$R$12:$R$19</c:f>
              <c:numCache>
                <c:formatCode>#,##0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15</c:v>
                </c:pt>
                <c:pt idx="4">
                  <c:v>33</c:v>
                </c:pt>
                <c:pt idx="5">
                  <c:v>66</c:v>
                </c:pt>
                <c:pt idx="6">
                  <c:v>165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1-4E47-8CA5-A47197E0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8073064"/>
        <c:axId val="1178071264"/>
      </c:barChart>
      <c:catAx>
        <c:axId val="117807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78071264"/>
        <c:crosses val="autoZero"/>
        <c:auto val="1"/>
        <c:lblAlgn val="ctr"/>
        <c:lblOffset val="100"/>
        <c:noMultiLvlLbl val="0"/>
      </c:catAx>
      <c:valAx>
        <c:axId val="117807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7807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Januar!$B$3:$B$6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Januar!$K$3:$K$6</c:f>
              <c:numCache>
                <c:formatCode>#,##0</c:formatCode>
                <c:ptCount val="4"/>
                <c:pt idx="0">
                  <c:v>22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3C3-9F7A-2C9C4EBA99FD}"/>
            </c:ext>
          </c:extLst>
        </c:ser>
        <c:ser>
          <c:idx val="1"/>
          <c:order val="1"/>
          <c:tx>
            <c:strRef>
              <c:f>Januar!$B$9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Januar!$B$3:$B$6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Januar!$K$10:$K$13</c:f>
              <c:numCache>
                <c:formatCode>#,##0</c:formatCode>
                <c:ptCount val="4"/>
                <c:pt idx="0">
                  <c:v>20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3C3-9F7A-2C9C4EBA99FD}"/>
            </c:ext>
          </c:extLst>
        </c:ser>
        <c:ser>
          <c:idx val="2"/>
          <c:order val="2"/>
          <c:tx>
            <c:strRef>
              <c:f>Januar!$B$16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Januar!$B$3:$B$6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Januar!$K$17:$K$20</c:f>
              <c:numCache>
                <c:formatCode>#,##0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3-4740-B0A7-E5D60405B8D7}"/>
            </c:ext>
          </c:extLst>
        </c:ser>
        <c:ser>
          <c:idx val="3"/>
          <c:order val="3"/>
          <c:tx>
            <c:strRef>
              <c:f>Januar!$B$23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Januar!$K$24:$K$27</c:f>
              <c:numCache>
                <c:formatCode>#,##0</c:formatCode>
                <c:ptCount val="4"/>
                <c:pt idx="0">
                  <c:v>20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D50-AFD2-3DA9BF16D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71-4A39-994B-03223D657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Januar!$C$7:$J$7</c:f>
              <c:numCache>
                <c:formatCode>#,##0</c:formatCode>
                <c:ptCount val="8"/>
                <c:pt idx="0">
                  <c:v>16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1-4A39-994B-03223D6570CF}"/>
            </c:ext>
          </c:extLst>
        </c:ser>
        <c:ser>
          <c:idx val="1"/>
          <c:order val="1"/>
          <c:tx>
            <c:strRef>
              <c:f>Januar!$B$9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71-4A39-994B-03223D657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Januar!$C$14:$J$14</c:f>
              <c:numCache>
                <c:formatCode>#,##0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71-4A39-994B-03223D6570CF}"/>
            </c:ext>
          </c:extLst>
        </c:ser>
        <c:ser>
          <c:idx val="2"/>
          <c:order val="2"/>
          <c:tx>
            <c:strRef>
              <c:f>Januar!$B$16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Januar!$C$21:$J$21</c:f>
              <c:numCache>
                <c:formatCode>#,##0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7-48C1-B72D-C7BD929FFAB6}"/>
            </c:ext>
          </c:extLst>
        </c:ser>
        <c:ser>
          <c:idx val="3"/>
          <c:order val="3"/>
          <c:tx>
            <c:strRef>
              <c:f>Januar!$B$23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Januar!$C$28:$J$28</c:f>
              <c:numCache>
                <c:formatCode>#,##0</c:formatCode>
                <c:ptCount val="8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9D1-9EF0-338C5145D9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Februar!$B$3:$B$6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Februar!$K$3:$K$6</c:f>
              <c:numCache>
                <c:formatCode>#,##0</c:formatCode>
                <c:ptCount val="4"/>
                <c:pt idx="0">
                  <c:v>22</c:v>
                </c:pt>
                <c:pt idx="1">
                  <c:v>39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B-4AA7-ADF7-9AC051B35556}"/>
            </c:ext>
          </c:extLst>
        </c:ser>
        <c:ser>
          <c:idx val="1"/>
          <c:order val="1"/>
          <c:tx>
            <c:strRef>
              <c:f>Februar!$B$9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Februar!$B$3:$B$6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Februar!$K$10:$K$13</c:f>
              <c:numCache>
                <c:formatCode>#,##0</c:formatCode>
                <c:ptCount val="4"/>
                <c:pt idx="0">
                  <c:v>29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B-4AA7-ADF7-9AC051B35556}"/>
            </c:ext>
          </c:extLst>
        </c:ser>
        <c:ser>
          <c:idx val="2"/>
          <c:order val="2"/>
          <c:tx>
            <c:strRef>
              <c:f>Februar!$B$16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Februar!$K$17:$K$20</c:f>
              <c:numCache>
                <c:formatCode>#,##0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3-47D2-9CF9-4F6CAF411E78}"/>
            </c:ext>
          </c:extLst>
        </c:ser>
        <c:ser>
          <c:idx val="3"/>
          <c:order val="3"/>
          <c:tx>
            <c:strRef>
              <c:f>Februar!$B$23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Februar!$K$24:$K$27</c:f>
              <c:numCache>
                <c:formatCode>#,##0</c:formatCode>
                <c:ptCount val="4"/>
                <c:pt idx="0">
                  <c:v>18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E-47E0-BEE1-2458536DEE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23-4B23-89D7-506C0D1321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Februar!$C$7:$J$7</c:f>
              <c:numCache>
                <c:formatCode>#,##0</c:formatCode>
                <c:ptCount val="8"/>
                <c:pt idx="0">
                  <c:v>19</c:v>
                </c:pt>
                <c:pt idx="1">
                  <c:v>2</c:v>
                </c:pt>
                <c:pt idx="2">
                  <c:v>0</c:v>
                </c:pt>
                <c:pt idx="3">
                  <c:v>32</c:v>
                </c:pt>
                <c:pt idx="4">
                  <c:v>12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3-4B23-89D7-506C0D132173}"/>
            </c:ext>
          </c:extLst>
        </c:ser>
        <c:ser>
          <c:idx val="1"/>
          <c:order val="1"/>
          <c:tx>
            <c:strRef>
              <c:f>Februar!$B$9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3-4B23-89D7-506C0D1321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Februar!$C$14:$J$14</c:f>
              <c:numCache>
                <c:formatCode>#,##0</c:formatCode>
                <c:ptCount val="8"/>
                <c:pt idx="0">
                  <c:v>11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23-4B23-89D7-506C0D132173}"/>
            </c:ext>
          </c:extLst>
        </c:ser>
        <c:ser>
          <c:idx val="2"/>
          <c:order val="2"/>
          <c:tx>
            <c:strRef>
              <c:f>Februar!$B$16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Februar!$C$21:$J$21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E-4B1F-957A-967A754EC4CE}"/>
            </c:ext>
          </c:extLst>
        </c:ser>
        <c:ser>
          <c:idx val="3"/>
          <c:order val="3"/>
          <c:tx>
            <c:strRef>
              <c:f>Februar!$B$23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Februar!$C$28:$J$28</c:f>
              <c:numCache>
                <c:formatCode>#,##0</c:formatCode>
                <c:ptCount val="8"/>
                <c:pt idx="0">
                  <c:v>10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F-4D72-B018-33E1778CB1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Marts!$B$2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Marts!$B$17:$B$20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Marts!$K$3:$K$6</c:f>
              <c:numCache>
                <c:formatCode>#,##0</c:formatCode>
                <c:ptCount val="4"/>
                <c:pt idx="0">
                  <c:v>52</c:v>
                </c:pt>
                <c:pt idx="1">
                  <c:v>63</c:v>
                </c:pt>
                <c:pt idx="2">
                  <c:v>21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3-4514-8A85-7E58EB74DB6A}"/>
            </c:ext>
          </c:extLst>
        </c:ser>
        <c:ser>
          <c:idx val="1"/>
          <c:order val="1"/>
          <c:tx>
            <c:strRef>
              <c:f>Marts!$B$9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Marts!$B$17:$B$20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Marts!$K$10:$K$13</c:f>
              <c:numCache>
                <c:formatCode>#,##0</c:formatCode>
                <c:ptCount val="4"/>
                <c:pt idx="0">
                  <c:v>33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3-4514-8A85-7E58EB74DB6A}"/>
            </c:ext>
          </c:extLst>
        </c:ser>
        <c:ser>
          <c:idx val="2"/>
          <c:order val="2"/>
          <c:tx>
            <c:strRef>
              <c:f>Marts!$B$16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Marts!$K$17:$K$20</c:f>
              <c:numCache>
                <c:formatCode>#,##0</c:formatCode>
                <c:ptCount val="4"/>
                <c:pt idx="0">
                  <c:v>47</c:v>
                </c:pt>
                <c:pt idx="1">
                  <c:v>9</c:v>
                </c:pt>
                <c:pt idx="2">
                  <c:v>23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4D-4339-826C-F43BAB8F96E6}"/>
            </c:ext>
          </c:extLst>
        </c:ser>
        <c:ser>
          <c:idx val="3"/>
          <c:order val="3"/>
          <c:tx>
            <c:strRef>
              <c:f>Marts!$B$23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Marts!$K$24:$K$27</c:f>
              <c:numCache>
                <c:formatCode>#,##0</c:formatCode>
                <c:ptCount val="4"/>
                <c:pt idx="0">
                  <c:v>49</c:v>
                </c:pt>
                <c:pt idx="1">
                  <c:v>5</c:v>
                </c:pt>
                <c:pt idx="2">
                  <c:v>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F-4074-9E0A-C73D0327F2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Overnatninger fordelt på havn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Marts!$B$2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91304347826087E-2"/>
                  <c:y val="-8.1177054506557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BE-433F-B62C-8F48F59CD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Marts!$C$7:$J$7</c:f>
              <c:numCache>
                <c:formatCode>#,##0</c:formatCode>
                <c:ptCount val="8"/>
                <c:pt idx="0">
                  <c:v>43</c:v>
                </c:pt>
                <c:pt idx="1">
                  <c:v>3</c:v>
                </c:pt>
                <c:pt idx="2">
                  <c:v>0</c:v>
                </c:pt>
                <c:pt idx="3">
                  <c:v>12</c:v>
                </c:pt>
                <c:pt idx="4">
                  <c:v>65</c:v>
                </c:pt>
                <c:pt idx="5">
                  <c:v>1</c:v>
                </c:pt>
                <c:pt idx="6">
                  <c:v>13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E-433F-B62C-8F48F59CDDDC}"/>
            </c:ext>
          </c:extLst>
        </c:ser>
        <c:ser>
          <c:idx val="1"/>
          <c:order val="1"/>
          <c:tx>
            <c:strRef>
              <c:f>Marts!$B$9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188405797100599E-3"/>
                  <c:y val="8.117705450655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BE-433F-B62C-8F48F59CD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Juni!$C$2:$J$2</c:f>
              <c:strCache>
                <c:ptCount val="8"/>
                <c:pt idx="0">
                  <c:v>Præstø</c:v>
                </c:pt>
                <c:pt idx="1">
                  <c:v>Bogø</c:v>
                </c:pt>
                <c:pt idx="2">
                  <c:v>Hårbølle</c:v>
                </c:pt>
                <c:pt idx="3">
                  <c:v>Kalvehave</c:v>
                </c:pt>
                <c:pt idx="4">
                  <c:v>Klintholm</c:v>
                </c:pt>
                <c:pt idx="5">
                  <c:v>Masnedsund</c:v>
                </c:pt>
                <c:pt idx="6">
                  <c:v>Stege</c:v>
                </c:pt>
                <c:pt idx="7">
                  <c:v>Nordhavn</c:v>
                </c:pt>
              </c:strCache>
            </c:strRef>
          </c:cat>
          <c:val>
            <c:numRef>
              <c:f>Marts!$C$14:$J$14</c:f>
              <c:numCache>
                <c:formatCode>#,##0</c:formatCode>
                <c:ptCount val="8"/>
                <c:pt idx="0">
                  <c:v>17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12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E-433F-B62C-8F48F59CDDDC}"/>
            </c:ext>
          </c:extLst>
        </c:ser>
        <c:ser>
          <c:idx val="2"/>
          <c:order val="2"/>
          <c:tx>
            <c:strRef>
              <c:f>Marts!$B$16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Marts!$C$21:$J$21</c:f>
              <c:numCache>
                <c:formatCode>#,##0</c:formatCode>
                <c:ptCount val="8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21</c:v>
                </c:pt>
                <c:pt idx="5">
                  <c:v>8</c:v>
                </c:pt>
                <c:pt idx="6">
                  <c:v>27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F-4C0F-877F-ADB5FD6D5187}"/>
            </c:ext>
          </c:extLst>
        </c:ser>
        <c:ser>
          <c:idx val="3"/>
          <c:order val="3"/>
          <c:tx>
            <c:strRef>
              <c:f>Marts!$B$23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Marts!$C$28:$J$28</c:f>
              <c:numCache>
                <c:formatCode>#,##0</c:formatCode>
                <c:ptCount val="8"/>
                <c:pt idx="0">
                  <c:v>15</c:v>
                </c:pt>
                <c:pt idx="1">
                  <c:v>5</c:v>
                </c:pt>
                <c:pt idx="2">
                  <c:v>0</c:v>
                </c:pt>
                <c:pt idx="3">
                  <c:v>11</c:v>
                </c:pt>
                <c:pt idx="4">
                  <c:v>16</c:v>
                </c:pt>
                <c:pt idx="5">
                  <c:v>0</c:v>
                </c:pt>
                <c:pt idx="6">
                  <c:v>20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F-44B1-903A-4D5B00C4FE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Overnatninge</a:t>
            </a:r>
            <a:r>
              <a:rPr lang="en-US" baseline="0"/>
              <a:t> fordelt på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April!$B$3:$B$6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April!$K$3:$K$6</c:f>
              <c:numCache>
                <c:formatCode>#,##0</c:formatCode>
                <c:ptCount val="4"/>
                <c:pt idx="0">
                  <c:v>139</c:v>
                </c:pt>
                <c:pt idx="1">
                  <c:v>160</c:v>
                </c:pt>
                <c:pt idx="2">
                  <c:v>178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0-4760-9F71-7E8E25D28FBB}"/>
            </c:ext>
          </c:extLst>
        </c:ser>
        <c:ser>
          <c:idx val="1"/>
          <c:order val="1"/>
          <c:tx>
            <c:strRef>
              <c:f>April!$B$9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April!$B$3:$B$6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April!$K$10:$K$13</c:f>
              <c:numCache>
                <c:formatCode>#,##0</c:formatCode>
                <c:ptCount val="4"/>
                <c:pt idx="0">
                  <c:v>108</c:v>
                </c:pt>
                <c:pt idx="1">
                  <c:v>95</c:v>
                </c:pt>
                <c:pt idx="2">
                  <c:v>166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0-4760-9F71-7E8E25D28FBB}"/>
            </c:ext>
          </c:extLst>
        </c:ser>
        <c:ser>
          <c:idx val="2"/>
          <c:order val="2"/>
          <c:tx>
            <c:strRef>
              <c:f>April!$B$16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April!$B$3:$B$6</c:f>
              <c:strCache>
                <c:ptCount val="4"/>
                <c:pt idx="0">
                  <c:v>Autocamper</c:v>
                </c:pt>
                <c:pt idx="1">
                  <c:v>0-9m</c:v>
                </c:pt>
                <c:pt idx="2">
                  <c:v>9-15m</c:v>
                </c:pt>
                <c:pt idx="3">
                  <c:v>&gt;15m</c:v>
                </c:pt>
              </c:strCache>
            </c:strRef>
          </c:cat>
          <c:val>
            <c:numRef>
              <c:f>April!$K$17:$K$20</c:f>
              <c:numCache>
                <c:formatCode>#,##0</c:formatCode>
                <c:ptCount val="4"/>
                <c:pt idx="0">
                  <c:v>64</c:v>
                </c:pt>
                <c:pt idx="1">
                  <c:v>58</c:v>
                </c:pt>
                <c:pt idx="2">
                  <c:v>88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7-44E2-8B0B-C581EAF3D5BB}"/>
            </c:ext>
          </c:extLst>
        </c:ser>
        <c:ser>
          <c:idx val="3"/>
          <c:order val="3"/>
          <c:tx>
            <c:strRef>
              <c:f>April!$B$23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April!$K$24:$K$27</c:f>
              <c:numCache>
                <c:formatCode>#,##0</c:formatCode>
                <c:ptCount val="4"/>
                <c:pt idx="0">
                  <c:v>210</c:v>
                </c:pt>
                <c:pt idx="1">
                  <c:v>59</c:v>
                </c:pt>
                <c:pt idx="2">
                  <c:v>167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3-4A4F-B9CF-B922B6B7B5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673560"/>
        <c:axId val="331673888"/>
      </c:barChart>
      <c:catAx>
        <c:axId val="331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888"/>
        <c:crosses val="autoZero"/>
        <c:auto val="1"/>
        <c:lblAlgn val="ctr"/>
        <c:lblOffset val="100"/>
        <c:noMultiLvlLbl val="0"/>
      </c:catAx>
      <c:valAx>
        <c:axId val="3316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167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476249</xdr:colOff>
      <xdr:row>32</xdr:row>
      <xdr:rowOff>26986</xdr:rowOff>
    </xdr:from>
    <xdr:to>
      <xdr:col>17</xdr:col>
      <xdr:colOff>695324</xdr:colOff>
      <xdr:row>48</xdr:row>
      <xdr:rowOff>107949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8525A35B-B9D3-4B0C-B594-CB51F5FE0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32</xdr:row>
      <xdr:rowOff>9525</xdr:rowOff>
    </xdr:from>
    <xdr:to>
      <xdr:col>10</xdr:col>
      <xdr:colOff>828675</xdr:colOff>
      <xdr:row>48</xdr:row>
      <xdr:rowOff>90488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92B7FB9-B3C0-40F0-8A41-2C71B3F2A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32</xdr:row>
      <xdr:rowOff>23811</xdr:rowOff>
    </xdr:from>
    <xdr:to>
      <xdr:col>7</xdr:col>
      <xdr:colOff>361949</xdr:colOff>
      <xdr:row>48</xdr:row>
      <xdr:rowOff>104774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0579FEA-E82F-4729-B18C-1D92286CA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32</xdr:row>
      <xdr:rowOff>9525</xdr:rowOff>
    </xdr:from>
    <xdr:to>
      <xdr:col>14</xdr:col>
      <xdr:colOff>113025</xdr:colOff>
      <xdr:row>48</xdr:row>
      <xdr:rowOff>90488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A01DC2-DB08-4973-BDDA-3600D9B24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32</xdr:row>
      <xdr:rowOff>33336</xdr:rowOff>
    </xdr:from>
    <xdr:to>
      <xdr:col>7</xdr:col>
      <xdr:colOff>380999</xdr:colOff>
      <xdr:row>48</xdr:row>
      <xdr:rowOff>114299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3217E1-7028-473C-918F-7EF19B138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590550</xdr:colOff>
      <xdr:row>32</xdr:row>
      <xdr:rowOff>19050</xdr:rowOff>
    </xdr:from>
    <xdr:to>
      <xdr:col>14</xdr:col>
      <xdr:colOff>132075</xdr:colOff>
      <xdr:row>48</xdr:row>
      <xdr:rowOff>100013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ED1C03-8338-4DDB-A548-29536EB31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32</xdr:row>
      <xdr:rowOff>42861</xdr:rowOff>
    </xdr:from>
    <xdr:to>
      <xdr:col>7</xdr:col>
      <xdr:colOff>361949</xdr:colOff>
      <xdr:row>48</xdr:row>
      <xdr:rowOff>123824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9FF04C-E78A-4955-B382-26C38FE0F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32</xdr:row>
      <xdr:rowOff>28575</xdr:rowOff>
    </xdr:from>
    <xdr:to>
      <xdr:col>14</xdr:col>
      <xdr:colOff>113025</xdr:colOff>
      <xdr:row>48</xdr:row>
      <xdr:rowOff>109538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015611D-7853-4391-9D67-68C772364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32</xdr:row>
      <xdr:rowOff>23811</xdr:rowOff>
    </xdr:from>
    <xdr:to>
      <xdr:col>7</xdr:col>
      <xdr:colOff>371474</xdr:colOff>
      <xdr:row>48</xdr:row>
      <xdr:rowOff>104774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7C8F8C6-0CF8-4305-AE2B-E2CB8B891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32</xdr:row>
      <xdr:rowOff>9525</xdr:rowOff>
    </xdr:from>
    <xdr:to>
      <xdr:col>14</xdr:col>
      <xdr:colOff>122550</xdr:colOff>
      <xdr:row>48</xdr:row>
      <xdr:rowOff>90488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3E9FF7D-2129-4930-BD58-660AEEA3B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4762</xdr:rowOff>
    </xdr:from>
    <xdr:to>
      <xdr:col>14</xdr:col>
      <xdr:colOff>1000125</xdr:colOff>
      <xdr:row>37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1D6EF6-2DE7-19B2-ADEB-43A7E7B9F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14286</xdr:rowOff>
    </xdr:from>
    <xdr:to>
      <xdr:col>7</xdr:col>
      <xdr:colOff>390525</xdr:colOff>
      <xdr:row>48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016FB6-A685-4526-B4E2-061DDFE75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600076</xdr:colOff>
      <xdr:row>32</xdr:row>
      <xdr:rowOff>0</xdr:rowOff>
    </xdr:from>
    <xdr:to>
      <xdr:col>15</xdr:col>
      <xdr:colOff>247651</xdr:colOff>
      <xdr:row>48</xdr:row>
      <xdr:rowOff>80963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DE32E16-7477-4480-B553-264A65A96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14286</xdr:rowOff>
    </xdr:from>
    <xdr:to>
      <xdr:col>7</xdr:col>
      <xdr:colOff>390525</xdr:colOff>
      <xdr:row>48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ADDA93-497F-49E0-BF42-E32A557DD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600076</xdr:colOff>
      <xdr:row>32</xdr:row>
      <xdr:rowOff>0</xdr:rowOff>
    </xdr:from>
    <xdr:to>
      <xdr:col>15</xdr:col>
      <xdr:colOff>247651</xdr:colOff>
      <xdr:row>48</xdr:row>
      <xdr:rowOff>80963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1A5E643-BA05-48DC-B2E1-E89342B84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14286</xdr:rowOff>
    </xdr:from>
    <xdr:to>
      <xdr:col>7</xdr:col>
      <xdr:colOff>390525</xdr:colOff>
      <xdr:row>48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90E7AB-222D-469E-B6F0-50893F150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600076</xdr:colOff>
      <xdr:row>32</xdr:row>
      <xdr:rowOff>0</xdr:rowOff>
    </xdr:from>
    <xdr:to>
      <xdr:col>15</xdr:col>
      <xdr:colOff>247651</xdr:colOff>
      <xdr:row>48</xdr:row>
      <xdr:rowOff>80963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DA37237-A120-4FEF-9614-659BA845A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14286</xdr:rowOff>
    </xdr:from>
    <xdr:to>
      <xdr:col>7</xdr:col>
      <xdr:colOff>390525</xdr:colOff>
      <xdr:row>48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582F4DB-6562-45E7-8E06-D90C49630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600076</xdr:colOff>
      <xdr:row>32</xdr:row>
      <xdr:rowOff>0</xdr:rowOff>
    </xdr:from>
    <xdr:to>
      <xdr:col>15</xdr:col>
      <xdr:colOff>247651</xdr:colOff>
      <xdr:row>48</xdr:row>
      <xdr:rowOff>80963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78858B-DAA8-4206-BE66-C829288E4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32</xdr:row>
      <xdr:rowOff>23811</xdr:rowOff>
    </xdr:from>
    <xdr:to>
      <xdr:col>20</xdr:col>
      <xdr:colOff>381000</xdr:colOff>
      <xdr:row>48</xdr:row>
      <xdr:rowOff>104774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372ABB5-4E04-4513-A0CA-5E38837C2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32</xdr:row>
      <xdr:rowOff>0</xdr:rowOff>
    </xdr:from>
    <xdr:to>
      <xdr:col>11</xdr:col>
      <xdr:colOff>19050</xdr:colOff>
      <xdr:row>48</xdr:row>
      <xdr:rowOff>80963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D6A4915-46B2-403F-8696-8080CD797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371474</xdr:colOff>
      <xdr:row>32</xdr:row>
      <xdr:rowOff>33336</xdr:rowOff>
    </xdr:from>
    <xdr:to>
      <xdr:col>20</xdr:col>
      <xdr:colOff>361949</xdr:colOff>
      <xdr:row>48</xdr:row>
      <xdr:rowOff>114299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3A16F1-4810-45A8-8F62-6355DB83C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32</xdr:row>
      <xdr:rowOff>19050</xdr:rowOff>
    </xdr:from>
    <xdr:to>
      <xdr:col>11</xdr:col>
      <xdr:colOff>19050</xdr:colOff>
      <xdr:row>48</xdr:row>
      <xdr:rowOff>100013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E94C2EC-2C3B-474C-B095-12A0B9FF1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152399</xdr:colOff>
      <xdr:row>31</xdr:row>
      <xdr:rowOff>185736</xdr:rowOff>
    </xdr:from>
    <xdr:to>
      <xdr:col>17</xdr:col>
      <xdr:colOff>542924</xdr:colOff>
      <xdr:row>48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D5BE22D-43C5-4B60-A8BC-F70C63A0C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31</xdr:row>
      <xdr:rowOff>171450</xdr:rowOff>
    </xdr:from>
    <xdr:to>
      <xdr:col>11</xdr:col>
      <xdr:colOff>0</xdr:colOff>
      <xdr:row>48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DCD3C7-3658-4057-9BC2-832A94866929}"/>
            </a:ext>
            <a:ext uri="{147F2762-F138-4A5C-976F-8EAC2B608ADB}">
              <a16:predDERef xmlns:a16="http://schemas.microsoft.com/office/drawing/2014/main" pred="{DD5BE22D-43C5-4B60-A8BC-F70C63A0C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32</xdr:row>
      <xdr:rowOff>23811</xdr:rowOff>
    </xdr:from>
    <xdr:to>
      <xdr:col>7</xdr:col>
      <xdr:colOff>371474</xdr:colOff>
      <xdr:row>48</xdr:row>
      <xdr:rowOff>104774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CDA73B-649D-4A10-B188-41A2469C6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32</xdr:row>
      <xdr:rowOff>9525</xdr:rowOff>
    </xdr:from>
    <xdr:to>
      <xdr:col>14</xdr:col>
      <xdr:colOff>122550</xdr:colOff>
      <xdr:row>48</xdr:row>
      <xdr:rowOff>90488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B87871D-3E20-466B-B3D8-7B22A5B82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Wede Lohse" refreshedDate="45174.642153587964" createdVersion="8" refreshedVersion="8" minRefreshableVersion="3" recordCount="128" xr:uid="{22C37F89-4728-4D00-A308-11D3A08B4E80}">
  <cacheSource type="worksheet">
    <worksheetSource ref="B2:I130" sheet="Version 2.0"/>
  </cacheSource>
  <cacheFields count="8">
    <cacheField name="Havn" numFmtId="0">
      <sharedItems count="8">
        <s v="Præstø"/>
        <s v="Bogø"/>
        <s v="Hårbølle"/>
        <s v="Kalvehave"/>
        <s v="Klintholm"/>
        <s v="Masnedsund"/>
        <s v="Stege"/>
        <s v="Nordhavn"/>
      </sharedItems>
    </cacheField>
    <cacheField name="Måned" numFmtId="0">
      <sharedItems count="8">
        <s v="Januar"/>
        <s v="Februar"/>
        <s v="Marts"/>
        <s v="April"/>
        <s v="Maj"/>
        <s v="Juni"/>
        <s v="Juli"/>
        <s v="August"/>
      </sharedItems>
    </cacheField>
    <cacheField name="År" numFmtId="0">
      <sharedItems containsSemiMixedTypes="0" containsString="0" containsNumber="1" containsInteger="1" minValue="2022" maxValue="2023" count="2">
        <n v="2022"/>
        <n v="2023"/>
      </sharedItems>
    </cacheField>
    <cacheField name="Autocampere" numFmtId="3">
      <sharedItems containsString="0" containsBlank="1" containsNumber="1" containsInteger="1" minValue="1" maxValue="237"/>
    </cacheField>
    <cacheField name="Både &lt; 9 m" numFmtId="3">
      <sharedItems containsString="0" containsBlank="1" containsNumber="1" containsInteger="1" minValue="1" maxValue="725"/>
    </cacheField>
    <cacheField name="Både &gt; 9 m &lt; 15 m" numFmtId="3">
      <sharedItems containsString="0" containsBlank="1" containsNumber="1" containsInteger="1" minValue="1" maxValue="3157"/>
    </cacheField>
    <cacheField name="Både &gt; 15 m" numFmtId="3">
      <sharedItems containsString="0" containsBlank="1" containsNumber="1" containsInteger="1" minValue="1" maxValue="73"/>
    </cacheField>
    <cacheField name="Total" numFmtId="3">
      <sharedItems containsSemiMixedTypes="0" containsString="0" containsNumber="1" containsInteger="1" minValue="0" maxValue="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x v="0"/>
    <x v="0"/>
    <n v="15"/>
    <m/>
    <n v="1"/>
    <m/>
    <n v="16"/>
  </r>
  <r>
    <x v="1"/>
    <x v="0"/>
    <x v="0"/>
    <n v="1"/>
    <m/>
    <m/>
    <m/>
    <n v="1"/>
  </r>
  <r>
    <x v="2"/>
    <x v="0"/>
    <x v="0"/>
    <m/>
    <m/>
    <m/>
    <m/>
    <n v="0"/>
  </r>
  <r>
    <x v="3"/>
    <x v="0"/>
    <x v="0"/>
    <m/>
    <m/>
    <n v="1"/>
    <m/>
    <n v="1"/>
  </r>
  <r>
    <x v="4"/>
    <x v="0"/>
    <x v="0"/>
    <m/>
    <n v="5"/>
    <n v="2"/>
    <m/>
    <n v="7"/>
  </r>
  <r>
    <x v="5"/>
    <x v="0"/>
    <x v="0"/>
    <m/>
    <m/>
    <m/>
    <m/>
    <n v="0"/>
  </r>
  <r>
    <x v="6"/>
    <x v="0"/>
    <x v="0"/>
    <n v="6"/>
    <m/>
    <m/>
    <m/>
    <n v="6"/>
  </r>
  <r>
    <x v="7"/>
    <x v="0"/>
    <x v="0"/>
    <m/>
    <m/>
    <n v="1"/>
    <m/>
    <n v="1"/>
  </r>
  <r>
    <x v="0"/>
    <x v="1"/>
    <x v="0"/>
    <n v="18"/>
    <n v="1"/>
    <m/>
    <m/>
    <n v="19"/>
  </r>
  <r>
    <x v="1"/>
    <x v="1"/>
    <x v="0"/>
    <n v="2"/>
    <m/>
    <m/>
    <m/>
    <n v="2"/>
  </r>
  <r>
    <x v="2"/>
    <x v="1"/>
    <x v="0"/>
    <m/>
    <m/>
    <m/>
    <m/>
    <n v="0"/>
  </r>
  <r>
    <x v="3"/>
    <x v="1"/>
    <x v="0"/>
    <n v="1"/>
    <n v="30"/>
    <n v="1"/>
    <m/>
    <n v="32"/>
  </r>
  <r>
    <x v="4"/>
    <x v="1"/>
    <x v="0"/>
    <m/>
    <n v="8"/>
    <n v="4"/>
    <m/>
    <n v="12"/>
  </r>
  <r>
    <x v="5"/>
    <x v="1"/>
    <x v="0"/>
    <n v="1"/>
    <m/>
    <m/>
    <m/>
    <n v="1"/>
  </r>
  <r>
    <x v="6"/>
    <x v="1"/>
    <x v="0"/>
    <m/>
    <m/>
    <m/>
    <m/>
    <n v="0"/>
  </r>
  <r>
    <x v="7"/>
    <x v="1"/>
    <x v="0"/>
    <m/>
    <m/>
    <m/>
    <m/>
    <n v="0"/>
  </r>
  <r>
    <x v="0"/>
    <x v="2"/>
    <x v="0"/>
    <n v="33"/>
    <m/>
    <n v="10"/>
    <m/>
    <n v="43"/>
  </r>
  <r>
    <x v="1"/>
    <x v="2"/>
    <x v="0"/>
    <n v="1"/>
    <m/>
    <n v="2"/>
    <m/>
    <n v="3"/>
  </r>
  <r>
    <x v="2"/>
    <x v="2"/>
    <x v="0"/>
    <m/>
    <m/>
    <m/>
    <m/>
    <n v="0"/>
  </r>
  <r>
    <x v="3"/>
    <x v="2"/>
    <x v="0"/>
    <n v="8"/>
    <n v="3"/>
    <n v="1"/>
    <m/>
    <n v="12"/>
  </r>
  <r>
    <x v="4"/>
    <x v="2"/>
    <x v="0"/>
    <m/>
    <n v="57"/>
    <n v="7"/>
    <n v="1"/>
    <n v="65"/>
  </r>
  <r>
    <x v="5"/>
    <x v="2"/>
    <x v="0"/>
    <m/>
    <n v="1"/>
    <m/>
    <m/>
    <n v="1"/>
  </r>
  <r>
    <x v="6"/>
    <x v="2"/>
    <x v="0"/>
    <n v="10"/>
    <n v="2"/>
    <n v="1"/>
    <m/>
    <n v="13"/>
  </r>
  <r>
    <x v="7"/>
    <x v="2"/>
    <x v="0"/>
    <m/>
    <m/>
    <m/>
    <m/>
    <n v="0"/>
  </r>
  <r>
    <x v="0"/>
    <x v="3"/>
    <x v="0"/>
    <n v="50"/>
    <n v="4"/>
    <n v="9"/>
    <m/>
    <n v="63"/>
  </r>
  <r>
    <x v="1"/>
    <x v="3"/>
    <x v="0"/>
    <n v="17"/>
    <m/>
    <n v="3"/>
    <m/>
    <n v="20"/>
  </r>
  <r>
    <x v="2"/>
    <x v="3"/>
    <x v="0"/>
    <m/>
    <m/>
    <m/>
    <m/>
    <n v="0"/>
  </r>
  <r>
    <x v="3"/>
    <x v="3"/>
    <x v="0"/>
    <n v="27"/>
    <n v="36"/>
    <n v="24"/>
    <m/>
    <n v="87"/>
  </r>
  <r>
    <x v="4"/>
    <x v="3"/>
    <x v="0"/>
    <m/>
    <n v="91"/>
    <n v="82"/>
    <n v="5"/>
    <n v="178"/>
  </r>
  <r>
    <x v="5"/>
    <x v="3"/>
    <x v="0"/>
    <n v="3"/>
    <n v="5"/>
    <n v="4"/>
    <m/>
    <n v="12"/>
  </r>
  <r>
    <x v="6"/>
    <x v="3"/>
    <x v="0"/>
    <n v="41"/>
    <n v="5"/>
    <n v="13"/>
    <m/>
    <n v="59"/>
  </r>
  <r>
    <x v="7"/>
    <x v="3"/>
    <x v="0"/>
    <n v="1"/>
    <n v="19"/>
    <n v="43"/>
    <m/>
    <n v="63"/>
  </r>
  <r>
    <x v="0"/>
    <x v="4"/>
    <x v="0"/>
    <n v="64"/>
    <n v="11"/>
    <n v="52"/>
    <n v="2"/>
    <n v="129"/>
  </r>
  <r>
    <x v="1"/>
    <x v="4"/>
    <x v="0"/>
    <n v="28"/>
    <n v="19"/>
    <n v="1"/>
    <m/>
    <n v="48"/>
  </r>
  <r>
    <x v="2"/>
    <x v="4"/>
    <x v="0"/>
    <n v="1"/>
    <m/>
    <m/>
    <m/>
    <n v="1"/>
  </r>
  <r>
    <x v="3"/>
    <x v="4"/>
    <x v="0"/>
    <n v="71"/>
    <n v="46"/>
    <n v="51"/>
    <n v="1"/>
    <n v="169"/>
  </r>
  <r>
    <x v="4"/>
    <x v="4"/>
    <x v="0"/>
    <m/>
    <n v="111"/>
    <n v="611"/>
    <n v="11"/>
    <n v="733"/>
  </r>
  <r>
    <x v="5"/>
    <x v="4"/>
    <x v="0"/>
    <n v="12"/>
    <n v="9"/>
    <n v="5"/>
    <m/>
    <n v="26"/>
  </r>
  <r>
    <x v="6"/>
    <x v="4"/>
    <x v="0"/>
    <n v="52"/>
    <n v="10"/>
    <n v="33"/>
    <m/>
    <n v="95"/>
  </r>
  <r>
    <x v="7"/>
    <x v="4"/>
    <x v="0"/>
    <n v="29"/>
    <n v="36"/>
    <n v="159"/>
    <n v="5"/>
    <n v="229"/>
  </r>
  <r>
    <x v="0"/>
    <x v="5"/>
    <x v="0"/>
    <n v="112"/>
    <n v="71"/>
    <n v="115"/>
    <m/>
    <n v="298"/>
  </r>
  <r>
    <x v="1"/>
    <x v="5"/>
    <x v="0"/>
    <n v="27"/>
    <n v="25"/>
    <n v="18"/>
    <m/>
    <n v="70"/>
  </r>
  <r>
    <x v="2"/>
    <x v="5"/>
    <x v="0"/>
    <n v="1"/>
    <n v="3"/>
    <n v="3"/>
    <m/>
    <n v="7"/>
  </r>
  <r>
    <x v="3"/>
    <x v="5"/>
    <x v="0"/>
    <n v="128"/>
    <n v="67"/>
    <n v="151"/>
    <n v="1"/>
    <n v="347"/>
  </r>
  <r>
    <x v="4"/>
    <x v="5"/>
    <x v="0"/>
    <n v="14"/>
    <n v="342"/>
    <n v="1507"/>
    <n v="29"/>
    <n v="1892"/>
  </r>
  <r>
    <x v="5"/>
    <x v="5"/>
    <x v="0"/>
    <n v="22"/>
    <n v="11"/>
    <n v="39"/>
    <m/>
    <n v="72"/>
  </r>
  <r>
    <x v="6"/>
    <x v="5"/>
    <x v="0"/>
    <n v="90"/>
    <n v="90"/>
    <n v="148"/>
    <n v="3"/>
    <n v="331"/>
  </r>
  <r>
    <x v="7"/>
    <x v="5"/>
    <x v="0"/>
    <n v="38"/>
    <n v="190"/>
    <n v="372"/>
    <n v="1"/>
    <n v="601"/>
  </r>
  <r>
    <x v="0"/>
    <x v="6"/>
    <x v="0"/>
    <n v="177"/>
    <n v="271"/>
    <n v="640"/>
    <n v="5"/>
    <n v="1093"/>
  </r>
  <r>
    <x v="1"/>
    <x v="6"/>
    <x v="0"/>
    <n v="68"/>
    <n v="36"/>
    <n v="118"/>
    <n v="1"/>
    <n v="223"/>
  </r>
  <r>
    <x v="2"/>
    <x v="6"/>
    <x v="0"/>
    <n v="4"/>
    <n v="6"/>
    <n v="19"/>
    <m/>
    <n v="29"/>
  </r>
  <r>
    <x v="3"/>
    <x v="6"/>
    <x v="0"/>
    <n v="224"/>
    <n v="362"/>
    <n v="624"/>
    <n v="3"/>
    <n v="1213"/>
  </r>
  <r>
    <x v="4"/>
    <x v="6"/>
    <x v="0"/>
    <n v="22"/>
    <n v="549"/>
    <n v="3157"/>
    <n v="66"/>
    <n v="3794"/>
  </r>
  <r>
    <x v="5"/>
    <x v="6"/>
    <x v="0"/>
    <n v="6"/>
    <n v="53"/>
    <n v="109"/>
    <n v="4"/>
    <n v="172"/>
  </r>
  <r>
    <x v="6"/>
    <x v="6"/>
    <x v="0"/>
    <n v="172"/>
    <n v="457"/>
    <n v="884"/>
    <n v="13"/>
    <n v="1526"/>
  </r>
  <r>
    <x v="7"/>
    <x v="6"/>
    <x v="0"/>
    <n v="128"/>
    <n v="725"/>
    <n v="1694"/>
    <n v="10"/>
    <n v="2557"/>
  </r>
  <r>
    <x v="0"/>
    <x v="7"/>
    <x v="0"/>
    <n v="146"/>
    <n v="91"/>
    <n v="239"/>
    <n v="12"/>
    <n v="488"/>
  </r>
  <r>
    <x v="1"/>
    <x v="7"/>
    <x v="0"/>
    <n v="32"/>
    <n v="26"/>
    <n v="43"/>
    <m/>
    <n v="101"/>
  </r>
  <r>
    <x v="2"/>
    <x v="7"/>
    <x v="0"/>
    <n v="5"/>
    <m/>
    <n v="1"/>
    <m/>
    <n v="6"/>
  </r>
  <r>
    <x v="3"/>
    <x v="7"/>
    <x v="0"/>
    <n v="237"/>
    <n v="198"/>
    <n v="237"/>
    <n v="3"/>
    <n v="675"/>
  </r>
  <r>
    <x v="4"/>
    <x v="7"/>
    <x v="0"/>
    <n v="1"/>
    <n v="324"/>
    <n v="2037"/>
    <n v="67"/>
    <n v="2429"/>
  </r>
  <r>
    <x v="5"/>
    <x v="7"/>
    <x v="0"/>
    <n v="17"/>
    <n v="20"/>
    <n v="23"/>
    <m/>
    <n v="60"/>
  </r>
  <r>
    <x v="6"/>
    <x v="7"/>
    <x v="0"/>
    <n v="158"/>
    <n v="136"/>
    <n v="262"/>
    <n v="1"/>
    <n v="557"/>
  </r>
  <r>
    <x v="7"/>
    <x v="7"/>
    <x v="0"/>
    <n v="63"/>
    <n v="224"/>
    <n v="515"/>
    <n v="2"/>
    <n v="804"/>
  </r>
  <r>
    <x v="0"/>
    <x v="0"/>
    <x v="1"/>
    <n v="11"/>
    <n v="1"/>
    <m/>
    <m/>
    <n v="12"/>
  </r>
  <r>
    <x v="1"/>
    <x v="0"/>
    <x v="1"/>
    <n v="3"/>
    <m/>
    <m/>
    <m/>
    <n v="3"/>
  </r>
  <r>
    <x v="2"/>
    <x v="0"/>
    <x v="1"/>
    <n v="2"/>
    <m/>
    <m/>
    <m/>
    <n v="2"/>
  </r>
  <r>
    <x v="3"/>
    <x v="0"/>
    <x v="1"/>
    <n v="1"/>
    <n v="1"/>
    <m/>
    <m/>
    <n v="2"/>
  </r>
  <r>
    <x v="4"/>
    <x v="0"/>
    <x v="1"/>
    <m/>
    <n v="1"/>
    <m/>
    <m/>
    <n v="1"/>
  </r>
  <r>
    <x v="5"/>
    <x v="0"/>
    <x v="1"/>
    <n v="2"/>
    <m/>
    <m/>
    <m/>
    <n v="2"/>
  </r>
  <r>
    <x v="6"/>
    <x v="0"/>
    <x v="1"/>
    <n v="1"/>
    <m/>
    <m/>
    <m/>
    <n v="1"/>
  </r>
  <r>
    <x v="7"/>
    <x v="0"/>
    <x v="1"/>
    <m/>
    <n v="2"/>
    <m/>
    <m/>
    <n v="2"/>
  </r>
  <r>
    <x v="0"/>
    <x v="1"/>
    <x v="1"/>
    <n v="11"/>
    <m/>
    <m/>
    <m/>
    <n v="11"/>
  </r>
  <r>
    <x v="1"/>
    <x v="1"/>
    <x v="1"/>
    <n v="4"/>
    <m/>
    <m/>
    <m/>
    <n v="4"/>
  </r>
  <r>
    <x v="2"/>
    <x v="1"/>
    <x v="1"/>
    <n v="3"/>
    <m/>
    <m/>
    <m/>
    <n v="3"/>
  </r>
  <r>
    <x v="3"/>
    <x v="1"/>
    <x v="1"/>
    <m/>
    <m/>
    <n v="1"/>
    <m/>
    <n v="1"/>
  </r>
  <r>
    <x v="4"/>
    <x v="1"/>
    <x v="1"/>
    <n v="1"/>
    <n v="2"/>
    <n v="1"/>
    <m/>
    <n v="4"/>
  </r>
  <r>
    <x v="5"/>
    <x v="1"/>
    <x v="1"/>
    <n v="3"/>
    <m/>
    <m/>
    <m/>
    <n v="3"/>
  </r>
  <r>
    <x v="6"/>
    <x v="1"/>
    <x v="1"/>
    <n v="6"/>
    <n v="1"/>
    <m/>
    <m/>
    <n v="7"/>
  </r>
  <r>
    <x v="7"/>
    <x v="1"/>
    <x v="1"/>
    <n v="1"/>
    <m/>
    <m/>
    <m/>
    <n v="1"/>
  </r>
  <r>
    <x v="0"/>
    <x v="2"/>
    <x v="1"/>
    <n v="16"/>
    <m/>
    <n v="1"/>
    <m/>
    <n v="17"/>
  </r>
  <r>
    <x v="1"/>
    <x v="2"/>
    <x v="1"/>
    <n v="6"/>
    <m/>
    <m/>
    <m/>
    <n v="6"/>
  </r>
  <r>
    <x v="2"/>
    <x v="2"/>
    <x v="1"/>
    <n v="1"/>
    <m/>
    <m/>
    <m/>
    <n v="1"/>
  </r>
  <r>
    <x v="3"/>
    <x v="2"/>
    <x v="1"/>
    <n v="4"/>
    <n v="1"/>
    <m/>
    <m/>
    <n v="5"/>
  </r>
  <r>
    <x v="4"/>
    <x v="2"/>
    <x v="1"/>
    <n v="1"/>
    <n v="7"/>
    <n v="4"/>
    <m/>
    <n v="12"/>
  </r>
  <r>
    <x v="5"/>
    <x v="2"/>
    <x v="1"/>
    <n v="3"/>
    <m/>
    <m/>
    <m/>
    <n v="3"/>
  </r>
  <r>
    <x v="6"/>
    <x v="2"/>
    <x v="1"/>
    <n v="1"/>
    <m/>
    <m/>
    <m/>
    <n v="1"/>
  </r>
  <r>
    <x v="7"/>
    <x v="2"/>
    <x v="1"/>
    <n v="1"/>
    <m/>
    <n v="1"/>
    <m/>
    <n v="2"/>
  </r>
  <r>
    <x v="0"/>
    <x v="3"/>
    <x v="1"/>
    <n v="56"/>
    <n v="1"/>
    <n v="8"/>
    <m/>
    <n v="65"/>
  </r>
  <r>
    <x v="1"/>
    <x v="3"/>
    <x v="1"/>
    <n v="11"/>
    <n v="1"/>
    <m/>
    <n v="1"/>
    <n v="13"/>
  </r>
  <r>
    <x v="2"/>
    <x v="3"/>
    <x v="1"/>
    <m/>
    <m/>
    <n v="2"/>
    <m/>
    <n v="2"/>
  </r>
  <r>
    <x v="3"/>
    <x v="3"/>
    <x v="1"/>
    <n v="9"/>
    <n v="24"/>
    <n v="12"/>
    <n v="1"/>
    <n v="46"/>
  </r>
  <r>
    <x v="4"/>
    <x v="3"/>
    <x v="1"/>
    <n v="2"/>
    <n v="44"/>
    <n v="107"/>
    <n v="6"/>
    <n v="159"/>
  </r>
  <r>
    <x v="5"/>
    <x v="3"/>
    <x v="1"/>
    <n v="5"/>
    <n v="7"/>
    <n v="3"/>
    <m/>
    <n v="15"/>
  </r>
  <r>
    <x v="6"/>
    <x v="3"/>
    <x v="1"/>
    <n v="21"/>
    <n v="5"/>
    <n v="12"/>
    <m/>
    <n v="38"/>
  </r>
  <r>
    <x v="7"/>
    <x v="3"/>
    <x v="1"/>
    <n v="4"/>
    <n v="13"/>
    <n v="22"/>
    <m/>
    <n v="39"/>
  </r>
  <r>
    <x v="0"/>
    <x v="4"/>
    <x v="1"/>
    <n v="78"/>
    <n v="49"/>
    <n v="99"/>
    <n v="3"/>
    <n v="229"/>
  </r>
  <r>
    <x v="1"/>
    <x v="4"/>
    <x v="1"/>
    <n v="14"/>
    <m/>
    <n v="4"/>
    <m/>
    <n v="18"/>
  </r>
  <r>
    <x v="2"/>
    <x v="4"/>
    <x v="1"/>
    <n v="4"/>
    <n v="4"/>
    <n v="7"/>
    <m/>
    <n v="15"/>
  </r>
  <r>
    <x v="3"/>
    <x v="4"/>
    <x v="1"/>
    <n v="42"/>
    <n v="55"/>
    <n v="45"/>
    <m/>
    <n v="142"/>
  </r>
  <r>
    <x v="4"/>
    <x v="4"/>
    <x v="1"/>
    <n v="2"/>
    <n v="81"/>
    <n v="728"/>
    <n v="11"/>
    <n v="822"/>
  </r>
  <r>
    <x v="5"/>
    <x v="4"/>
    <x v="1"/>
    <n v="10"/>
    <n v="15"/>
    <n v="8"/>
    <m/>
    <n v="33"/>
  </r>
  <r>
    <x v="6"/>
    <x v="4"/>
    <x v="1"/>
    <n v="53"/>
    <n v="39"/>
    <n v="86"/>
    <m/>
    <n v="178"/>
  </r>
  <r>
    <x v="7"/>
    <x v="4"/>
    <x v="1"/>
    <n v="29"/>
    <n v="61"/>
    <n v="178"/>
    <m/>
    <n v="268"/>
  </r>
  <r>
    <x v="0"/>
    <x v="5"/>
    <x v="1"/>
    <n v="102"/>
    <n v="74"/>
    <n v="184"/>
    <n v="4"/>
    <n v="364"/>
  </r>
  <r>
    <x v="1"/>
    <x v="5"/>
    <x v="1"/>
    <n v="14"/>
    <n v="14"/>
    <n v="18"/>
    <m/>
    <n v="46"/>
  </r>
  <r>
    <x v="2"/>
    <x v="5"/>
    <x v="1"/>
    <n v="17"/>
    <n v="29"/>
    <n v="52"/>
    <m/>
    <n v="98"/>
  </r>
  <r>
    <x v="3"/>
    <x v="5"/>
    <x v="1"/>
    <n v="75"/>
    <n v="103"/>
    <n v="165"/>
    <m/>
    <n v="343"/>
  </r>
  <r>
    <x v="4"/>
    <x v="5"/>
    <x v="1"/>
    <n v="9"/>
    <n v="250"/>
    <n v="1537"/>
    <n v="40"/>
    <n v="1836"/>
  </r>
  <r>
    <x v="5"/>
    <x v="5"/>
    <x v="1"/>
    <n v="6"/>
    <n v="7"/>
    <n v="53"/>
    <m/>
    <n v="66"/>
  </r>
  <r>
    <x v="6"/>
    <x v="5"/>
    <x v="1"/>
    <n v="95"/>
    <n v="76"/>
    <n v="195"/>
    <n v="5"/>
    <n v="371"/>
  </r>
  <r>
    <x v="7"/>
    <x v="5"/>
    <x v="1"/>
    <n v="40"/>
    <n v="174"/>
    <n v="453"/>
    <n v="4"/>
    <n v="671"/>
  </r>
  <r>
    <x v="0"/>
    <x v="6"/>
    <x v="1"/>
    <n v="158"/>
    <n v="238"/>
    <n v="513"/>
    <n v="4"/>
    <n v="913"/>
  </r>
  <r>
    <x v="1"/>
    <x v="6"/>
    <x v="1"/>
    <n v="26"/>
    <n v="19"/>
    <n v="80"/>
    <m/>
    <n v="125"/>
  </r>
  <r>
    <x v="2"/>
    <x v="6"/>
    <x v="1"/>
    <n v="43"/>
    <n v="74"/>
    <n v="128"/>
    <m/>
    <n v="245"/>
  </r>
  <r>
    <x v="3"/>
    <x v="6"/>
    <x v="1"/>
    <n v="129"/>
    <n v="287"/>
    <n v="518"/>
    <n v="2"/>
    <n v="936"/>
  </r>
  <r>
    <x v="4"/>
    <x v="6"/>
    <x v="1"/>
    <m/>
    <n v="426"/>
    <n v="2942"/>
    <n v="46"/>
    <n v="3414"/>
  </r>
  <r>
    <x v="5"/>
    <x v="6"/>
    <x v="1"/>
    <n v="28"/>
    <n v="53"/>
    <n v="81"/>
    <n v="3"/>
    <n v="165"/>
  </r>
  <r>
    <x v="6"/>
    <x v="6"/>
    <x v="1"/>
    <n v="198"/>
    <n v="318"/>
    <n v="659"/>
    <n v="5"/>
    <n v="1180"/>
  </r>
  <r>
    <x v="7"/>
    <x v="6"/>
    <x v="1"/>
    <n v="92"/>
    <n v="645"/>
    <n v="1492"/>
    <n v="13"/>
    <n v="2242"/>
  </r>
  <r>
    <x v="0"/>
    <x v="7"/>
    <x v="1"/>
    <n v="110"/>
    <n v="113"/>
    <n v="211"/>
    <n v="4"/>
    <n v="438"/>
  </r>
  <r>
    <x v="1"/>
    <x v="7"/>
    <x v="1"/>
    <n v="24"/>
    <n v="6"/>
    <n v="18"/>
    <m/>
    <n v="48"/>
  </r>
  <r>
    <x v="2"/>
    <x v="7"/>
    <x v="1"/>
    <n v="81"/>
    <n v="48"/>
    <n v="95"/>
    <m/>
    <n v="224"/>
  </r>
  <r>
    <x v="3"/>
    <x v="7"/>
    <x v="1"/>
    <n v="99"/>
    <n v="115"/>
    <n v="213"/>
    <n v="3"/>
    <n v="430"/>
  </r>
  <r>
    <x v="4"/>
    <x v="7"/>
    <x v="1"/>
    <m/>
    <n v="395"/>
    <n v="2080"/>
    <n v="73"/>
    <n v="2548"/>
  </r>
  <r>
    <x v="5"/>
    <x v="7"/>
    <x v="1"/>
    <n v="22"/>
    <n v="26"/>
    <n v="51"/>
    <n v="1"/>
    <n v="100"/>
  </r>
  <r>
    <x v="6"/>
    <x v="7"/>
    <x v="1"/>
    <n v="215"/>
    <n v="77"/>
    <n v="250"/>
    <n v="2"/>
    <n v="544"/>
  </r>
  <r>
    <x v="7"/>
    <x v="7"/>
    <x v="1"/>
    <n v="39"/>
    <n v="279"/>
    <n v="608"/>
    <n v="4"/>
    <n v="9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9BA802-79DD-488C-ACC6-3E92AD3D8C75}" name="Pivottabel1" cacheId="0" applyNumberFormats="0" applyBorderFormats="0" applyFontFormats="0" applyPatternFormats="0" applyAlignmentFormats="0" applyWidthHeightFormats="1" dataCaption="Værdier" updatedVersion="8" minRefreshableVersion="3" useAutoFormatting="1" rowGrandTotals="0" colGrandTotals="0" itemPrintTitles="1" createdVersion="8" indent="0" compact="0" compactData="0" multipleFieldFilters="0">
  <location ref="K2:R21" firstHeaderRow="0" firstDataRow="1" firstDataCol="3"/>
  <pivotFields count="8">
    <pivotField axis="axisRow" compact="0" outline="0" subtotalTop="0" showAll="0">
      <items count="9">
        <item h="1" x="1"/>
        <item h="1" x="2"/>
        <item h="1" x="3"/>
        <item h="1" x="4"/>
        <item x="5"/>
        <item h="1" x="7"/>
        <item h="1" x="0"/>
        <item h="1" x="6"/>
        <item t="default"/>
      </items>
    </pivotField>
    <pivotField axis="axisRow" compact="0" outline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</pivotFields>
  <rowFields count="3">
    <field x="0"/>
    <field x="2"/>
    <field x="1"/>
  </rowFields>
  <rowItems count="19">
    <i>
      <x v="4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t="default" r="1">
      <x v="1"/>
    </i>
    <i t="default">
      <x v="4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af Autocampere" fld="3" baseField="0" baseItem="0"/>
    <dataField name="Sum af Både &lt; 9 m" fld="4" baseField="0" baseItem="0"/>
    <dataField name="Sum af Både &gt; 9 m &lt; 15 m" fld="5" baseField="0" baseItem="0"/>
    <dataField name="Sum af Både &gt; 15 m" fld="6" baseField="0" baseItem="0"/>
    <dataField name="Sum af Total" fld="7" baseField="0" baseItem="0"/>
  </dataFields>
  <formats count="7">
    <format dxfId="6">
      <pivotArea outline="0" collapsedLevelsAreSubtotals="1" fieldPosition="0"/>
    </format>
    <format dxfId="5">
      <pivotArea field="2" type="button" dataOnly="0" labelOnly="1" outline="0" axis="axisRow" fieldPosition="1"/>
    </format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field="2" type="button" dataOnly="0" labelOnly="1" outline="0" axis="axisRow" fieldPosition="1"/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B47F-E6A4-495B-B330-16405348208A}">
  <dimension ref="A1:P58"/>
  <sheetViews>
    <sheetView showGridLines="0" tabSelected="1" zoomScaleNormal="100" workbookViewId="0">
      <selection activeCell="M28" sqref="M28"/>
    </sheetView>
  </sheetViews>
  <sheetFormatPr defaultRowHeight="15" x14ac:dyDescent="0.25"/>
  <cols>
    <col min="2" max="2" width="16.7109375" customWidth="1"/>
    <col min="3" max="12" width="12.7109375" customWidth="1"/>
    <col min="13" max="13" width="14.85546875" bestFit="1" customWidth="1"/>
    <col min="14" max="15" width="12.7109375" customWidth="1"/>
    <col min="16" max="16" width="17.140625" customWidth="1"/>
    <col min="17" max="18" width="12.7109375" customWidth="1"/>
    <col min="19" max="20" width="18.140625" bestFit="1" customWidth="1"/>
    <col min="21" max="21" width="12.7109375" customWidth="1"/>
    <col min="22" max="22" width="28.85546875" customWidth="1"/>
  </cols>
  <sheetData>
    <row r="1" spans="2:14" x14ac:dyDescent="0.25">
      <c r="K1" s="1"/>
    </row>
    <row r="2" spans="2:14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2:14" x14ac:dyDescent="0.25">
      <c r="B3" s="2" t="s">
        <v>9</v>
      </c>
      <c r="C3" s="15">
        <f>IF(Januar!C3+Februar!C3+Marts!C3+April!C3+Maj!C3+Juni!C3+Juli!C3+August!C3+September!C3+Oktober!C3+November!C3+December!C3=0,"",Januar!C3+Februar!C3+Marts!C3+April!C3+Maj!C3+Juni!C3+Juli!C3+August!C3+September!C3+Oktober!C3+November!C3+December!C3)</f>
        <v>760</v>
      </c>
      <c r="D3" s="15">
        <f>IF(Januar!D3+Februar!D3+Marts!D3+April!D3+Maj!D3+Juni!D3+Juli!D3+August!D3+September!D3+Oktober!D3+November!D3+December!D3=0,"",Januar!D3+Februar!D3+Marts!D3+April!D3+Maj!D3+Juni!D3+Juli!D3+August!D3+September!D3+Oktober!D3+November!D3+December!D3)</f>
        <v>201</v>
      </c>
      <c r="E3" s="15">
        <f>IF(Januar!E3+Februar!E3+Marts!E3+April!E3+Maj!E3+Juni!E3+Juli!E3+August!E3+September!E3+Oktober!E3+November!E3+December!E3=0,"",Januar!E3+Februar!E3+Marts!E3+April!E3+Maj!E3+Juni!E3+Juli!E3+August!E3+September!E3+Oktober!E3+November!E3+December!E3)</f>
        <v>16</v>
      </c>
      <c r="F3" s="15">
        <f>IF(Januar!F3+Februar!F3+Marts!F3+April!F3+Maj!F3+Juni!F3+Juli!F3+August!F3+September!F3+Oktober!F3+November!F3+December!F3=0,"",Januar!F3+Februar!F3+Marts!F3+April!F3+Maj!F3+Juni!F3+Juli!F3+August!F3+September!F3+Oktober!F3+November!F3+December!F3)</f>
        <v>790</v>
      </c>
      <c r="G3" s="15">
        <f>IF(Januar!G3+Februar!G3+Marts!G3+April!G3+Maj!G3+Juni!G3+Juli!G3+August!G3+September!G3+Oktober!G3+November!G3+December!G3=0,"",Januar!G3+Februar!G3+Marts!G3+April!G3+Maj!G3+Juni!G3+Juli!G3+August!G3+September!G3+Oktober!G3+November!G3+December!G3)</f>
        <v>37</v>
      </c>
      <c r="H3" s="15">
        <f>IF(Januar!H3+Februar!H3+Marts!H3+April!H3+Maj!H3+Juni!H3+Juli!H3+August!H3+September!H3+Oktober!H3+November!H3+December!H3=0,"",Januar!H3+Februar!H3+Marts!H3+April!H3+Maj!H3+Juni!H3+Juli!H3+August!H3+September!H3+Oktober!H3+November!H3+December!H3)</f>
        <v>87</v>
      </c>
      <c r="I3" s="15">
        <f>IF(Januar!I3+Februar!I3+Marts!I3+April!I3+Maj!I3+Juni!I3+Juli!I3+August!I3+September!I3+Oktober!I3+November!I3+December!I3=0,"",Januar!I3+Februar!I3+Marts!I3+April!I3+Maj!I3+Juni!I3+Juli!I3+August!I3+September!I3+Oktober!I3+November!I3+December!I3)</f>
        <v>681</v>
      </c>
      <c r="J3" s="16">
        <f>IF(Januar!J3+Februar!J3+Marts!J3+April!J3+Maj!J3+Juni!J3+Juli!J3+August!J3+September!J3+Oktober!J3+November!J3+December!J3=0,"",Januar!J3+Februar!J3+Marts!J3+April!J3+Maj!J3+Juni!J3+Juli!J3+August!J3+September!J3+Oktober!J3+November!J3+December!J3)</f>
        <v>291</v>
      </c>
      <c r="K3" s="9">
        <f t="shared" ref="K3:K6" si="0">SUM(C3:J3)</f>
        <v>2863</v>
      </c>
    </row>
    <row r="4" spans="2:14" x14ac:dyDescent="0.25">
      <c r="B4" s="2" t="s">
        <v>10</v>
      </c>
      <c r="C4" s="15">
        <f>IF(Januar!C4+Februar!C4+Marts!C4+April!C4+Maj!C4+Juni!C4+Juli!C4+August!C4+September!C4+Oktober!C4+November!C4+December!C4=0,"",Januar!C4+Februar!C4+Marts!C4+April!C4+Maj!C4+Juni!C4+Juli!C4+August!C4+September!C4+Oktober!C4+November!C4+December!C4)</f>
        <v>495</v>
      </c>
      <c r="D4" s="15">
        <f>IF(Januar!D4+Februar!D4+Marts!D4+April!D4+Maj!D4+Juni!D4+Juli!D4+August!D4+September!D4+Oktober!D4+November!D4+December!D4=0,"",Januar!D4+Februar!D4+Marts!D4+April!D4+Maj!D4+Juni!D4+Juli!D4+August!D4+September!D4+Oktober!D4+November!D4+December!D4)</f>
        <v>111</v>
      </c>
      <c r="E4" s="15">
        <f>IF(Januar!E4+Februar!E4+Marts!E4+April!E4+Maj!E4+Juni!E4+Juli!E4+August!E4+September!E4+Oktober!E4+November!E4+December!E4=0,"",Januar!E4+Februar!E4+Marts!E4+April!E4+Maj!E4+Juni!E4+Juli!E4+August!E4+September!E4+Oktober!E4+November!E4+December!E4)</f>
        <v>16</v>
      </c>
      <c r="F4" s="15">
        <f>IF(Januar!F4+Februar!F4+Marts!F4+April!F4+Maj!F4+Juni!F4+Juli!F4+August!F4+September!F4+Oktober!F4+November!F4+December!F4=0,"",Januar!F4+Februar!F4+Marts!F4+April!F4+Maj!F4+Juni!F4+Juli!F4+August!F4+September!F4+Oktober!F4+November!F4+December!F4)</f>
        <v>780</v>
      </c>
      <c r="G4" s="15">
        <f>IF(Januar!G4+Februar!G4+Marts!G4+April!G4+Maj!G4+Juni!G4+Juli!G4+August!G4+September!G4+Oktober!G4+November!G4+December!G4=0,"",Januar!G4+Februar!G4+Marts!G4+April!G4+Maj!G4+Juni!G4+Juli!G4+August!G4+September!G4+Oktober!G4+November!G4+December!G4)</f>
        <v>1537</v>
      </c>
      <c r="H4" s="15">
        <f>IF(Januar!H4+Februar!H4+Marts!H4+April!H4+Maj!H4+Juni!H4+Juli!H4+August!H4+September!H4+Oktober!H4+November!H4+December!H4=0,"",Januar!H4+Februar!H4+Marts!H4+April!H4+Maj!H4+Juni!H4+Juli!H4+August!H4+September!H4+Oktober!H4+November!H4+December!H4)</f>
        <v>106</v>
      </c>
      <c r="I4" s="15">
        <f>IF(Januar!I4+Februar!I4+Marts!I4+April!I4+Maj!I4+Juni!I4+Juli!I4+August!I4+September!I4+Oktober!I4+November!I4+December!I4=0,"",Januar!I4+Februar!I4+Marts!I4+April!I4+Maj!I4+Juni!I4+Juli!I4+August!I4+September!I4+Oktober!I4+November!I4+December!I4)</f>
        <v>725</v>
      </c>
      <c r="J4" s="16">
        <f>IF(Januar!J4+Februar!J4+Marts!J4+April!J4+Maj!J4+Juni!J4+Juli!J4+August!J4+September!J4+Oktober!J4+November!J4+December!J4=0,"",Januar!J4+Februar!J4+Marts!J4+April!J4+Maj!J4+Juni!J4+Juli!J4+August!J4+September!J4+Oktober!J4+November!J4+December!J4)</f>
        <v>1227</v>
      </c>
      <c r="K4" s="9">
        <f t="shared" si="0"/>
        <v>4997</v>
      </c>
    </row>
    <row r="5" spans="2:14" x14ac:dyDescent="0.25">
      <c r="B5" s="3" t="s">
        <v>11</v>
      </c>
      <c r="C5" s="15">
        <f>IF(Januar!C5+Februar!C5+Marts!C5+April!C5+Maj!C5+Juni!C5+Juli!C5+August!C5+September!C5+Oktober!C5+November!C5+December!C5=0,"",Januar!C5+Februar!C5+Marts!C5+April!C5+Maj!C5+Juni!C5+Juli!C5+August!C5+September!C5+Oktober!C5+November!C5+December!C5)</f>
        <v>1116</v>
      </c>
      <c r="D5" s="15">
        <f>IF(Januar!D5+Februar!D5+Marts!D5+April!D5+Maj!D5+Juni!D5+Juli!D5+August!D5+September!D5+Oktober!D5+November!D5+December!D5=0,"",Januar!D5+Februar!D5+Marts!D5+April!D5+Maj!D5+Juni!D5+Juli!D5+August!D5+September!D5+Oktober!D5+November!D5+December!D5)</f>
        <v>189</v>
      </c>
      <c r="E5" s="15">
        <f>IF(Januar!E5+Februar!E5+Marts!E5+April!E5+Maj!E5+Juni!E5+Juli!E5+August!E5+September!E5+Oktober!E5+November!E5+December!E5=0,"",Januar!E5+Februar!E5+Marts!E5+April!E5+Maj!E5+Juni!E5+Juli!E5+August!E5+September!E5+Oktober!E5+November!E5+December!E5)</f>
        <v>23</v>
      </c>
      <c r="F5" s="15">
        <f>IF(Januar!F5+Februar!F5+Marts!F5+April!F5+Maj!F5+Juni!F5+Juli!F5+August!F5+September!F5+Oktober!F5+November!F5+December!F5=0,"",Januar!F5+Februar!F5+Marts!F5+April!F5+Maj!F5+Juni!F5+Juli!F5+August!F5+September!F5+Oktober!F5+November!F5+December!F5)</f>
        <v>1123</v>
      </c>
      <c r="G5" s="15">
        <f>IF(Januar!G5+Februar!G5+Marts!G5+April!G5+Maj!G5+Juni!G5+Juli!G5+August!G5+September!G5+Oktober!G5+November!G5+December!G5=0,"",Januar!G5+Februar!G5+Marts!G5+April!G5+Maj!G5+Juni!G5+Juli!G5+August!G5+September!G5+Oktober!G5+November!G5+December!G5)</f>
        <v>7816</v>
      </c>
      <c r="H5" s="15">
        <f>IF(Januar!H5+Februar!H5+Marts!H5+April!H5+Maj!H5+Juni!H5+Juli!H5+August!H5+September!H5+Oktober!H5+November!H5+December!H5=0,"",Januar!H5+Februar!H5+Marts!H5+April!H5+Maj!H5+Juni!H5+Juli!H5+August!H5+September!H5+Oktober!H5+November!H5+December!H5)</f>
        <v>199</v>
      </c>
      <c r="I5" s="15">
        <f>IF(Januar!I5+Februar!I5+Marts!I5+April!I5+Maj!I5+Juni!I5+Juli!I5+August!I5+September!I5+Oktober!I5+November!I5+December!I5=0,"",Januar!I5+Februar!I5+Marts!I5+April!I5+Maj!I5+Juni!I5+Juli!I5+August!I5+September!I5+Oktober!I5+November!I5+December!I5)</f>
        <v>1356</v>
      </c>
      <c r="J5" s="16">
        <f>IF(Januar!J5+Februar!J5+Marts!J5+April!J5+Maj!J5+Juni!J5+Juli!J5+August!J5+September!J5+Oktober!J5+November!J5+December!J5=0,"",Januar!J5+Februar!J5+Marts!J5+April!J5+Maj!J5+Juni!J5+Juli!J5+August!J5+September!J5+Oktober!J5+November!J5+December!J5)</f>
        <v>2876</v>
      </c>
      <c r="K5" s="9">
        <f t="shared" si="0"/>
        <v>14698</v>
      </c>
    </row>
    <row r="6" spans="2:14" x14ac:dyDescent="0.25">
      <c r="B6" s="2" t="s">
        <v>12</v>
      </c>
      <c r="C6" s="15">
        <f>IF(Januar!C6+Februar!C6+Marts!C6+April!C6+Maj!C6+Juni!C6+Juli!C6+August!C6+September!C6+Oktober!C6+November!C6+December!C6=0,"",Januar!C6+Februar!C6+Marts!C6+April!C6+Maj!C6+Juni!C6+Juli!C6+August!C6+September!C6+Oktober!C6+November!C6+December!C6)</f>
        <v>19</v>
      </c>
      <c r="D6" s="15">
        <f>IF(Januar!D6+Februar!D6+Marts!D6+April!D6+Maj!D6+Juni!D6+Juli!D6+August!D6+September!D6+Oktober!D6+November!D6+December!D6=0,"",Januar!D6+Februar!D6+Marts!D6+April!D6+Maj!D6+Juni!D6+Juli!D6+August!D6+September!D6+Oktober!D6+November!D6+December!D6)</f>
        <v>1</v>
      </c>
      <c r="E6" s="15" t="str">
        <f>IF(Januar!E6+Februar!E6+Marts!E6+April!E6+Maj!E6+Juni!E6+Juli!E6+August!E6+September!E6+Oktober!E6+November!E6+December!E6=0,"",Januar!E6+Februar!E6+Marts!E6+April!E6+Maj!E6+Juni!E6+Juli!E6+August!E6+September!E6+Oktober!E6+November!E6+December!E6)</f>
        <v/>
      </c>
      <c r="F6" s="15">
        <f>IF(Januar!F6+Februar!F6+Marts!F6+April!F6+Maj!F6+Juni!F6+Juli!F6+August!F6+September!F6+Oktober!F6+November!F6+December!F6=0,"",Januar!F6+Februar!F6+Marts!F6+April!F6+Maj!F6+Juni!F6+Juli!F6+August!F6+September!F6+Oktober!F6+November!F6+December!F6)</f>
        <v>8</v>
      </c>
      <c r="G6" s="15">
        <f>IF(Januar!G6+Februar!G6+Marts!G6+April!G6+Maj!G6+Juni!G6+Juli!G6+August!G6+September!G6+Oktober!G6+November!G6+December!G6=0,"",Januar!G6+Februar!G6+Marts!G6+April!G6+Maj!G6+Juni!G6+Juli!G6+August!G6+September!G6+Oktober!G6+November!G6+December!G6)</f>
        <v>187</v>
      </c>
      <c r="H6" s="15">
        <f>IF(Januar!H6+Februar!H6+Marts!H6+April!H6+Maj!H6+Juni!H6+Juli!H6+August!H6+September!H6+Oktober!H6+November!H6+December!H6=0,"",Januar!H6+Februar!H6+Marts!H6+April!H6+Maj!H6+Juni!H6+Juli!H6+August!H6+September!H6+Oktober!H6+November!H6+December!H6)</f>
        <v>4</v>
      </c>
      <c r="I6" s="15">
        <f>IF(Januar!I6+Februar!I6+Marts!I6+April!I6+Maj!I6+Juni!I6+Juli!I6+August!I6+September!I6+Oktober!I6+November!I6+December!I6=0,"",Januar!I6+Februar!I6+Marts!I6+April!I6+Maj!I6+Juni!I6+Juli!I6+August!I6+September!I6+Oktober!I6+November!I6+December!I6)</f>
        <v>17</v>
      </c>
      <c r="J6" s="16">
        <f>IF(Januar!J6+Februar!J6+Marts!J6+April!J6+Maj!J6+Juni!J6+Juli!J6+August!J6+September!J6+Oktober!J6+November!J6+December!J6=0,"",Januar!J6+Februar!J6+Marts!J6+April!J6+Maj!J6+Juni!J6+Juli!J6+August!J6+September!J6+Oktober!J6+November!J6+December!J6)</f>
        <v>18</v>
      </c>
      <c r="K6" s="9">
        <f t="shared" si="0"/>
        <v>254</v>
      </c>
    </row>
    <row r="7" spans="2:14" x14ac:dyDescent="0.25">
      <c r="B7" s="10" t="s">
        <v>8</v>
      </c>
      <c r="C7" s="14">
        <f t="shared" ref="C7:J7" si="1">SUM(C3:C6)</f>
        <v>2390</v>
      </c>
      <c r="D7" s="14">
        <f t="shared" si="1"/>
        <v>502</v>
      </c>
      <c r="E7" s="14">
        <f t="shared" si="1"/>
        <v>55</v>
      </c>
      <c r="F7" s="14">
        <f t="shared" si="1"/>
        <v>2701</v>
      </c>
      <c r="G7" s="14">
        <f t="shared" si="1"/>
        <v>9577</v>
      </c>
      <c r="H7" s="14">
        <f t="shared" si="1"/>
        <v>396</v>
      </c>
      <c r="I7" s="14">
        <f t="shared" si="1"/>
        <v>2779</v>
      </c>
      <c r="J7" s="13">
        <f t="shared" si="1"/>
        <v>4412</v>
      </c>
      <c r="K7" s="13">
        <f>SUM(C7:J7)</f>
        <v>22812</v>
      </c>
      <c r="M7" s="1"/>
    </row>
    <row r="8" spans="2:14" x14ac:dyDescent="0.25">
      <c r="C8" s="1"/>
      <c r="D8" s="1"/>
      <c r="E8" s="1"/>
      <c r="F8" s="1"/>
      <c r="G8" s="1"/>
      <c r="H8" s="1"/>
      <c r="I8" s="1"/>
      <c r="J8" s="1"/>
    </row>
    <row r="9" spans="2:14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  <c r="K9" s="30" t="s">
        <v>8</v>
      </c>
    </row>
    <row r="10" spans="2:14" x14ac:dyDescent="0.25">
      <c r="B10" s="2" t="s">
        <v>9</v>
      </c>
      <c r="C10" s="15">
        <f>IF(Januar!C10+Februar!C10+Marts!C10+April!C10+Maj!C10+Juni!C10+Juli!C10+August!C10+September!C10+Oktober!C10+November!C10+December!C10=0,"",Januar!C10+Februar!C10+Marts!C10+April!C10+Maj!C10+Juni!C10+Juli!C10+August!C10+September!C10+Oktober!C10+November!C10+December!C10)</f>
        <v>630</v>
      </c>
      <c r="D10" s="15">
        <f>IF(Januar!D10+Februar!D10+Marts!D10+April!D10+Maj!D10+Juni!D10+Juli!D10+August!D10+September!D10+Oktober!D10+November!D10+December!D10=0,"",Januar!D10+Februar!D10+Marts!D10+April!D10+Maj!D10+Juni!D10+Juli!D10+August!D10+September!D10+Oktober!D10+November!D10+December!D10)</f>
        <v>117</v>
      </c>
      <c r="E10" s="15">
        <f>IF(Januar!E10+Februar!E10+Marts!E10+April!E10+Maj!E10+Juni!E10+Juli!E10+August!E10+September!E10+Oktober!E10+November!E10+December!E10=0,"",Januar!E10+Februar!E10+Marts!E10+April!E10+Maj!E10+Juni!E10+Juli!E10+August!E10+September!E10+Oktober!E10+November!E10+December!E10)</f>
        <v>172</v>
      </c>
      <c r="F10" s="15">
        <f>IF(Januar!F10+Februar!F10+Marts!F10+April!F10+Maj!F10+Juni!F10+Juli!F10+August!F10+September!F10+Oktober!F10+November!F10+December!F10=0,"",Januar!F10+Februar!F10+Marts!F10+April!F10+Maj!F10+Juni!F10+Juli!F10+August!F10+September!F10+Oktober!F10+November!F10+December!F10)</f>
        <v>428</v>
      </c>
      <c r="G10" s="15">
        <f>IF(Januar!G10+Februar!G10+Marts!G10+April!G10+Maj!G10+Juni!G10+Juli!G10+August!G10+September!G10+Oktober!G10+November!G10+December!G10=0,"",Januar!G10+Februar!G10+Marts!G10+April!G10+Maj!G10+Juni!G10+Juli!G10+August!G10+September!G10+Oktober!G10+November!G10+December!G10)</f>
        <v>15</v>
      </c>
      <c r="H10" s="15">
        <f>IF(Januar!H10+Februar!H10+Marts!H10+April!H10+Maj!H10+Juni!H10+Juli!H10+August!H10+September!H10+Oktober!H10+November!H10+December!H10=0,"",Januar!H10+Februar!H10+Marts!H10+April!H10+Maj!H10+Juni!H10+Juli!H10+August!H10+September!H10+Oktober!H10+November!H10+December!H10)</f>
        <v>108</v>
      </c>
      <c r="I10" s="15">
        <f>IF(Januar!I10+Februar!I10+Marts!I10+April!I10+Maj!I10+Juni!I10+Juli!I10+August!I10+September!I10+Oktober!I10+November!I10+December!I10=0,"",Januar!I10+Februar!I10+Marts!I10+April!I10+Maj!I10+Juni!I10+Juli!I10+August!I10+September!I10+Oktober!I10+November!I10+December!I10)</f>
        <v>741</v>
      </c>
      <c r="J10" s="15">
        <f>IF(Januar!J10+Februar!J10+Marts!J10+April!J10+Maj!J10+Juni!J10+Juli!J10+August!J10+September!J10+Oktober!J10+November!J10+December!J10=0,"",Januar!J10+Februar!J10+Marts!J10+April!J10+Maj!J10+Juni!J10+Juli!J10+August!J10+September!J10+Oktober!J10+November!J10+December!J10)</f>
        <v>235</v>
      </c>
      <c r="K10" s="31">
        <f>SUM(C10:J10)</f>
        <v>2446</v>
      </c>
    </row>
    <row r="11" spans="2:14" x14ac:dyDescent="0.25">
      <c r="B11" s="2" t="s">
        <v>10</v>
      </c>
      <c r="C11" s="15">
        <f>IF(Januar!C11+Februar!C11+Marts!C11+April!C11+Maj!C11+Juni!C11+Juli!C11+August!C11+September!C11+Oktober!C11+November!C11+December!C11=0,"",Januar!C11+Februar!C11+Marts!C11+April!C11+Maj!C11+Juni!C11+Juli!C11+August!C11+September!C11+Oktober!C11+November!C11+December!C11)</f>
        <v>516</v>
      </c>
      <c r="D11" s="15">
        <f>IF(Januar!D11+Februar!D11+Marts!D11+April!D11+Maj!D11+Juni!D11+Juli!D11+August!D11+September!D11+Oktober!D11+November!D11+December!D11=0,"",Januar!D11+Februar!D11+Marts!D11+April!D11+Maj!D11+Juni!D11+Juli!D11+August!D11+September!D11+Oktober!D11+November!D11+December!D11)</f>
        <v>42</v>
      </c>
      <c r="E11" s="15">
        <f>IF(Januar!E11+Februar!E11+Marts!E11+April!E11+Maj!E11+Juni!E11+Juli!E11+August!E11+September!E11+Oktober!E11+November!E11+December!E11=0,"",Januar!E11+Februar!E11+Marts!E11+April!E11+Maj!E11+Juni!E11+Juli!E11+August!E11+September!E11+Oktober!E11+November!E11+December!E11)</f>
        <v>173</v>
      </c>
      <c r="F11" s="15">
        <f>IF(Januar!F11+Februar!F11+Marts!F11+April!F11+Maj!F11+Juni!F11+Juli!F11+August!F11+September!F11+Oktober!F11+November!F11+December!F11=0,"",Januar!F11+Februar!F11+Marts!F11+April!F11+Maj!F11+Juni!F11+Juli!F11+August!F11+September!F11+Oktober!F11+November!F11+December!F11)</f>
        <v>612</v>
      </c>
      <c r="G11" s="15">
        <f>IF(Januar!G11+Februar!G11+Marts!G11+April!G11+Maj!G11+Juni!G11+Juli!G11+August!G11+September!G11+Oktober!G11+November!G11+December!G11=0,"",Januar!G11+Februar!G11+Marts!G11+April!G11+Maj!G11+Juni!G11+Juli!G11+August!G11+September!G11+Oktober!G11+November!G11+December!G11)</f>
        <v>1299</v>
      </c>
      <c r="H11" s="15">
        <f>IF(Januar!H11+Februar!H11+Marts!H11+April!H11+Maj!H11+Juni!H11+Juli!H11+August!H11+September!H11+Oktober!H11+November!H11+December!H11=0,"",Januar!H11+Februar!H11+Marts!H11+April!H11+Maj!H11+Juni!H11+Juli!H11+August!H11+September!H11+Oktober!H11+November!H11+December!H11)</f>
        <v>124</v>
      </c>
      <c r="I11" s="15">
        <f>IF(Januar!I11+Februar!I11+Marts!I11+April!I11+Maj!I11+Juni!I11+Juli!I11+August!I11+September!I11+Oktober!I11+November!I11+December!I11=0,"",Januar!I11+Februar!I11+Marts!I11+April!I11+Maj!I11+Juni!I11+Juli!I11+August!I11+September!I11+Oktober!I11+November!I11+December!I11)</f>
        <v>552</v>
      </c>
      <c r="J11" s="15">
        <f>IF(Januar!J11+Februar!J11+Marts!J11+April!J11+Maj!J11+Juni!J11+Juli!J11+August!J11+September!J11+Oktober!J11+November!J11+December!J11=0,"",Januar!J11+Februar!J11+Marts!J11+April!J11+Maj!J11+Juni!J11+Juli!J11+August!J11+September!J11+Oktober!J11+November!J11+December!J11)</f>
        <v>1241</v>
      </c>
      <c r="K11" s="31">
        <f t="shared" ref="K11:K13" si="2">SUM(C11:J11)</f>
        <v>4559</v>
      </c>
      <c r="L11" s="33"/>
      <c r="M11" s="33"/>
      <c r="N11" s="33"/>
    </row>
    <row r="12" spans="2:14" x14ac:dyDescent="0.25">
      <c r="B12" s="3" t="s">
        <v>11</v>
      </c>
      <c r="C12" s="15">
        <f>IF(Januar!C12+Februar!C12+Marts!C12+April!C12+Maj!C12+Juni!C12+Juli!C12+August!C12+September!C12+Oktober!C12+November!C12+December!C12=0,"",Januar!C12+Februar!C12+Marts!C12+April!C12+Maj!C12+Juni!C12+Juli!C12+August!C12+September!C12+Oktober!C12+November!C12+December!C12)</f>
        <v>1066</v>
      </c>
      <c r="D12" s="15">
        <f>IF(Januar!D12+Februar!D12+Marts!D12+April!D12+Maj!D12+Juni!D12+Juli!D12+August!D12+September!D12+Oktober!D12+November!D12+December!D12=0,"",Januar!D12+Februar!D12+Marts!D12+April!D12+Maj!D12+Juni!D12+Juli!D12+August!D12+September!D12+Oktober!D12+November!D12+December!D12)</f>
        <v>122</v>
      </c>
      <c r="E12" s="15">
        <f>IF(Januar!E12+Februar!E12+Marts!E12+April!E12+Maj!E12+Juni!E12+Juli!E12+August!E12+September!E12+Oktober!E12+November!E12+December!E12=0,"",Januar!E12+Februar!E12+Marts!E12+April!E12+Maj!E12+Juni!E12+Juli!E12+August!E12+September!E12+Oktober!E12+November!E12+December!E12)</f>
        <v>301</v>
      </c>
      <c r="F12" s="15">
        <f>IF(Januar!F12+Februar!F12+Marts!F12+April!F12+Maj!F12+Juni!F12+Juli!F12+August!F12+September!F12+Oktober!F12+November!F12+December!F12=0,"",Januar!F12+Februar!F12+Marts!F12+April!F12+Maj!F12+Juni!F12+Juli!F12+August!F12+September!F12+Oktober!F12+November!F12+December!F12)</f>
        <v>1023</v>
      </c>
      <c r="G12" s="15">
        <f>IF(Januar!G12+Februar!G12+Marts!G12+April!G12+Maj!G12+Juni!G12+Juli!G12+August!G12+September!G12+Oktober!G12+November!G12+December!G12=0,"",Januar!G12+Februar!G12+Marts!G12+April!G12+Maj!G12+Juni!G12+Juli!G12+August!G12+September!G12+Oktober!G12+November!G12+December!G12)</f>
        <v>7944</v>
      </c>
      <c r="H12" s="15">
        <f>IF(Januar!H12+Februar!H12+Marts!H12+April!H12+Maj!H12+Juni!H12+Juli!H12+August!H12+September!H12+Oktober!H12+November!H12+December!H12=0,"",Januar!H12+Februar!H12+Marts!H12+April!H12+Maj!H12+Juni!H12+Juli!H12+August!H12+September!H12+Oktober!H12+November!H12+December!H12)</f>
        <v>205</v>
      </c>
      <c r="I12" s="15">
        <f>IF(Januar!I12+Februar!I12+Marts!I12+April!I12+Maj!I12+Juni!I12+Juli!I12+August!I12+September!I12+Oktober!I12+November!I12+December!I12=0,"",Januar!I12+Februar!I12+Marts!I12+April!I12+Maj!I12+Juni!I12+Juli!I12+August!I12+September!I12+Oktober!I12+November!I12+December!I12)</f>
        <v>1253</v>
      </c>
      <c r="J12" s="15">
        <f>IF(Januar!J12+Februar!J12+Marts!J12+April!J12+Maj!J12+Juni!J12+Juli!J12+August!J12+September!J12+Oktober!J12+November!J12+December!J12=0,"",Januar!J12+Februar!J12+Marts!J12+April!J12+Maj!J12+Juni!J12+Juli!J12+August!J12+September!J12+Oktober!J12+November!J12+December!J12)</f>
        <v>2903</v>
      </c>
      <c r="K12" s="31">
        <f t="shared" si="2"/>
        <v>14817</v>
      </c>
      <c r="L12" s="27"/>
      <c r="M12" s="27"/>
      <c r="N12" s="27"/>
    </row>
    <row r="13" spans="2:14" x14ac:dyDescent="0.25">
      <c r="B13" s="2" t="s">
        <v>12</v>
      </c>
      <c r="C13" s="15">
        <f>IF(Januar!C13+Februar!C13+Marts!C13+April!C13+Maj!C13+Juni!C13+Juli!C13+August!C13+September!C13+Oktober!C13+November!C13+December!C13=0,"",Januar!C13+Februar!C13+Marts!C13+April!C13+Maj!C13+Juni!C13+Juli!C13+August!C13+September!C13+Oktober!C13+November!C13+December!C13)</f>
        <v>12</v>
      </c>
      <c r="D13" s="15">
        <f>IF(Januar!D13+Februar!D13+Marts!D13+April!D13+Maj!D13+Juni!D13+Juli!D13+August!D13+September!D13+Oktober!D13+November!D13+December!D13=0,"",Januar!D13+Februar!D13+Marts!D13+April!D13+Maj!D13+Juni!D13+Juli!D13+August!D13+September!D13+Oktober!D13+November!D13+December!D13)</f>
        <v>2</v>
      </c>
      <c r="E13" s="15">
        <f>IF(Januar!E13+Februar!E13+Marts!E13+April!E13+Maj!E13+Juni!E13+Juli!E13+August!E13+September!E13+Oktober!E13+November!E13+December!E13=0,"",Januar!E13+Februar!E13+Marts!E13+April!E13+Maj!E13+Juni!E13+Juli!E13+August!E13+September!E13+Oktober!E13+November!E13+December!E13)</f>
        <v>1</v>
      </c>
      <c r="F13" s="15">
        <f>IF(Januar!F13+Februar!F13+Marts!F13+April!F13+Maj!F13+Juni!F13+Juli!F13+August!F13+September!F13+Oktober!F13+November!F13+December!F13=0,"",Januar!F13+Februar!F13+Marts!F13+April!F13+Maj!F13+Juni!F13+Juli!F13+August!F13+September!F13+Oktober!F13+November!F13+December!F13)</f>
        <v>8</v>
      </c>
      <c r="G13" s="15">
        <f>IF(Januar!G13+Februar!G13+Marts!G13+April!G13+Maj!G13+Juni!G13+Juli!G13+August!G13+September!G13+Oktober!G13+November!G13+December!G13=0,"",Januar!G13+Februar!G13+Marts!G13+April!G13+Maj!G13+Juni!G13+Juli!G13+August!G13+September!G13+Oktober!G13+November!G13+December!G13)</f>
        <v>192</v>
      </c>
      <c r="H13" s="15">
        <f>IF(Januar!H13+Februar!H13+Marts!H13+April!H13+Maj!H13+Juni!H13+Juli!H13+August!H13+September!H13+Oktober!H13+November!H13+December!H13=0,"",Januar!H13+Februar!H13+Marts!H13+April!H13+Maj!H13+Juni!H13+Juli!H13+August!H13+September!H13+Oktober!H13+November!H13+December!H13)</f>
        <v>4</v>
      </c>
      <c r="I13" s="15">
        <f>IF(Januar!I13+Februar!I13+Marts!I13+April!I13+Maj!I13+Juni!I13+Juli!I13+August!I13+September!I13+Oktober!I13+November!I13+December!I13=0,"",Januar!I13+Februar!I13+Marts!I13+April!I13+Maj!I13+Juni!I13+Juli!I13+August!I13+September!I13+Oktober!I13+November!I13+December!I13)</f>
        <v>12</v>
      </c>
      <c r="J13" s="15">
        <f>IF(Januar!J13+Februar!J13+Marts!J13+April!J13+Maj!J13+Juni!J13+Juli!J13+August!J13+September!J13+Oktober!J13+November!J13+December!J13=0,"",Januar!J13+Februar!J13+Marts!J13+April!J13+Maj!J13+Juni!J13+Juli!J13+August!J13+September!J13+Oktober!J13+November!J13+December!J13)</f>
        <v>23</v>
      </c>
      <c r="K13" s="31">
        <f t="shared" si="2"/>
        <v>254</v>
      </c>
      <c r="L13" s="34"/>
      <c r="M13" s="1"/>
      <c r="N13" s="28"/>
    </row>
    <row r="14" spans="2:14" x14ac:dyDescent="0.25">
      <c r="B14" s="10" t="s">
        <v>8</v>
      </c>
      <c r="C14" s="14">
        <f t="shared" ref="C14:I14" si="3">SUM(C10:C13)</f>
        <v>2224</v>
      </c>
      <c r="D14" s="14">
        <f t="shared" si="3"/>
        <v>283</v>
      </c>
      <c r="E14" s="14">
        <f t="shared" si="3"/>
        <v>647</v>
      </c>
      <c r="F14" s="14">
        <f t="shared" si="3"/>
        <v>2071</v>
      </c>
      <c r="G14" s="14">
        <f t="shared" si="3"/>
        <v>9450</v>
      </c>
      <c r="H14" s="14">
        <f t="shared" si="3"/>
        <v>441</v>
      </c>
      <c r="I14" s="14">
        <f t="shared" si="3"/>
        <v>2558</v>
      </c>
      <c r="J14" s="14">
        <f>SUM(J10:J13)</f>
        <v>4402</v>
      </c>
      <c r="K14" s="32">
        <f>SUM(C14:J14)</f>
        <v>22076</v>
      </c>
    </row>
    <row r="16" spans="2:14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4" t="s">
        <v>7</v>
      </c>
      <c r="K16" s="30" t="s">
        <v>8</v>
      </c>
    </row>
    <row r="17" spans="2:11" x14ac:dyDescent="0.25">
      <c r="B17" s="2" t="s">
        <v>9</v>
      </c>
      <c r="C17" s="15">
        <f>IF(Januar!C17+Februar!C17+Marts!C17+April!C17+Maj!C17+Juni!C17+Juli!C17+August!C17+September!C17+Oktober!C17+November!C17+December!C17=0,"",Januar!C17+Februar!C17+Marts!C17+April!C17+Maj!C17+Juni!C17+Juli!C17+August!C17+September!C17+Oktober!C17+November!C17+December!C17)</f>
        <v>634</v>
      </c>
      <c r="D17" s="15">
        <f>IF(Januar!D17+Februar!D17+Marts!D17+April!D17+Maj!D17+Juni!D17+Juli!D17+August!D17+September!D17+Oktober!D17+November!D17+December!D17=0,"",Januar!D17+Februar!D17+Marts!D17+April!D17+Maj!D17+Juni!D17+Juli!D17+August!D17+September!D17+Oktober!D17+November!D17+December!D17)</f>
        <v>90</v>
      </c>
      <c r="E17" s="15">
        <f>IF(Januar!E17+Februar!E17+Marts!E17+April!E17+Maj!E17+Juni!E17+Juli!E17+August!E17+September!E17+Oktober!E17+November!E17+December!E17=0,"",Januar!E17+Februar!E17+Marts!E17+April!E17+Maj!E17+Juni!E17+Juli!E17+August!E17+September!E17+Oktober!E17+November!E17+December!E17)</f>
        <v>258</v>
      </c>
      <c r="F17" s="15">
        <f>IF(Januar!F17+Februar!F17+Marts!F17+April!F17+Maj!F17+Juni!F17+Juli!F17+August!F17+September!F17+Oktober!F17+November!F17+December!F17=0,"",Januar!F17+Februar!F17+Marts!F17+April!F17+Maj!F17+Juni!F17+Juli!F17+August!F17+September!F17+Oktober!F17+November!F17+December!F17)</f>
        <v>453</v>
      </c>
      <c r="G17" s="15">
        <f>IF(Januar!G17+Februar!G17+Marts!G17+April!G17+Maj!G17+Juni!G17+Juli!G17+August!G17+September!G17+Oktober!G17+November!G17+December!G17=0,"",Januar!G17+Februar!G17+Marts!G17+April!G17+Maj!G17+Juni!G17+Juli!G17+August!G17+September!G17+Oktober!G17+November!G17+December!G17)</f>
        <v>47</v>
      </c>
      <c r="H17" s="15">
        <f>IF(Januar!H17+Februar!H17+Marts!H17+April!H17+Maj!H17+Juni!H17+Juli!H17+August!H17+September!H17+Oktober!H17+November!H17+December!H17=0,"",Januar!H17+Februar!H17+Marts!H17+April!H17+Maj!H17+Juni!H17+Juli!H17+August!H17+September!H17+Oktober!H17+November!H17+December!H17)</f>
        <v>143</v>
      </c>
      <c r="I17" s="15">
        <f>IF(Januar!I17+Februar!I17+Marts!I17+April!I17+Maj!I17+Juni!I17+Juli!I17+August!I17+September!I17+Oktober!I17+November!I17+December!I17=0,"",Januar!I17+Februar!I17+Marts!I17+April!I17+Maj!I17+Juni!I17+Juli!I17+August!I17+September!I17+Oktober!I17+November!I17+December!I17)</f>
        <v>1227</v>
      </c>
      <c r="J17" s="15">
        <f>IF(Januar!J17+Februar!J17+Marts!J17+April!J17+Maj!J17+Juni!J17+Juli!J17+August!J17+September!J17+Oktober!J17+November!J17+December!J17=0,"",Januar!J17+Februar!J17+Marts!J17+April!J17+Maj!J17+Juni!J17+Juli!J17+August!J17+September!J17+Oktober!J17+November!J17+December!J17)</f>
        <v>329</v>
      </c>
      <c r="K17" s="31">
        <f>SUM(C17:J17)</f>
        <v>3181</v>
      </c>
    </row>
    <row r="18" spans="2:11" x14ac:dyDescent="0.25">
      <c r="B18" s="2" t="s">
        <v>10</v>
      </c>
      <c r="C18" s="15">
        <f>IF(Januar!C18+Februar!C18+Marts!C18+April!C18+Maj!C18+Juni!C18+Juli!C18+August!C18+September!C18+Oktober!C18+November!C18+December!C18=0,"",Januar!C18+Februar!C18+Marts!C18+April!C18+Maj!C18+Juni!C18+Juli!C18+August!C18+September!C18+Oktober!C18+November!C18+December!C18)</f>
        <v>340</v>
      </c>
      <c r="D18" s="15">
        <f>IF(Januar!D18+Februar!D18+Marts!D18+April!D18+Maj!D18+Juni!D18+Juli!D18+August!D18+September!D18+Oktober!D18+November!D18+December!D18=0,"",Januar!D18+Februar!D18+Marts!D18+April!D18+Maj!D18+Juni!D18+Juli!D18+August!D18+September!D18+Oktober!D18+November!D18+December!D18)</f>
        <v>93</v>
      </c>
      <c r="E18" s="15">
        <f>IF(Januar!E18+Februar!E18+Marts!E18+April!E18+Maj!E18+Juni!E18+Juli!E18+August!E18+September!E18+Oktober!E18+November!E18+December!E18=0,"",Januar!E18+Februar!E18+Marts!E18+April!E18+Maj!E18+Juni!E18+Juli!E18+August!E18+September!E18+Oktober!E18+November!E18+December!E18)</f>
        <v>283</v>
      </c>
      <c r="F18" s="15">
        <f>IF(Januar!F18+Februar!F18+Marts!F18+April!F18+Maj!F18+Juni!F18+Juli!F18+August!F18+September!F18+Oktober!F18+November!F18+December!F18=0,"",Januar!F18+Februar!F18+Marts!F18+April!F18+Maj!F18+Juni!F18+Juli!F18+August!F18+September!F18+Oktober!F18+November!F18+December!F18)</f>
        <v>589</v>
      </c>
      <c r="G18" s="15">
        <f>IF(Januar!G18+Februar!G18+Marts!G18+April!G18+Maj!G18+Juni!G18+Juli!G18+August!G18+September!G18+Oktober!G18+November!G18+December!G18=0,"",Januar!G18+Februar!G18+Marts!G18+April!G18+Maj!G18+Juni!G18+Juli!G18+August!G18+September!G18+Oktober!G18+November!G18+December!G18)</f>
        <v>1668</v>
      </c>
      <c r="H18" s="15">
        <f>IF(Januar!H18+Februar!H18+Marts!H18+April!H18+Maj!H18+Juni!H18+Juli!H18+August!H18+September!H18+Oktober!H18+November!H18+December!H18=0,"",Januar!H18+Februar!H18+Marts!H18+April!H18+Maj!H18+Juni!H18+Juli!H18+August!H18+September!H18+Oktober!H18+November!H18+December!H18)</f>
        <v>106</v>
      </c>
      <c r="I18" s="15">
        <f>IF(Januar!I18+Februar!I18+Marts!I18+April!I18+Maj!I18+Juni!I18+Juli!I18+August!I18+September!I18+Oktober!I18+November!I18+December!I18=0,"",Januar!I18+Februar!I18+Marts!I18+April!I18+Maj!I18+Juni!I18+Juli!I18+August!I18+September!I18+Oktober!I18+November!I18+December!I18)</f>
        <v>575</v>
      </c>
      <c r="J18" s="15">
        <f>IF(Januar!J18+Februar!J18+Marts!J18+April!J18+Maj!J18+Juni!J18+Juli!J18+August!J18+September!J18+Oktober!J18+November!J18+December!J18=0,"",Januar!J18+Februar!J18+Marts!J18+April!J18+Maj!J18+Juni!J18+Juli!J18+August!J18+September!J18+Oktober!J18+November!J18+December!J18)</f>
        <v>1248</v>
      </c>
      <c r="K18" s="31">
        <f t="shared" ref="K18:K20" si="4">SUM(C18:J18)</f>
        <v>4902</v>
      </c>
    </row>
    <row r="19" spans="2:11" x14ac:dyDescent="0.25">
      <c r="B19" s="3" t="s">
        <v>11</v>
      </c>
      <c r="C19" s="15">
        <f>IF(Januar!C19+Februar!C19+Marts!C19+April!C19+Maj!C19+Juni!C19+Juli!C19+August!C19+September!C19+Oktober!C19+November!C19+December!C19=0,"",Januar!C19+Februar!C19+Marts!C19+April!C19+Maj!C19+Juni!C19+Juli!C19+August!C19+September!C19+Oktober!C19+November!C19+December!C19)</f>
        <v>771</v>
      </c>
      <c r="D19" s="15">
        <f>IF(Januar!D19+Februar!D19+Marts!D19+April!D19+Maj!D19+Juni!D19+Juli!D19+August!D19+September!D19+Oktober!D19+November!D19+December!D19=0,"",Januar!D19+Februar!D19+Marts!D19+April!D19+Maj!D19+Juni!D19+Juli!D19+August!D19+September!D19+Oktober!D19+November!D19+December!D19)</f>
        <v>148</v>
      </c>
      <c r="E19" s="15">
        <f>IF(Januar!E19+Februar!E19+Marts!E19+April!E19+Maj!E19+Juni!E19+Juli!E19+August!E19+September!E19+Oktober!E19+November!E19+December!E19=0,"",Januar!E19+Februar!E19+Marts!E19+April!E19+Maj!E19+Juni!E19+Juli!E19+August!E19+September!E19+Oktober!E19+November!E19+December!E19)</f>
        <v>448</v>
      </c>
      <c r="F19" s="15">
        <f>IF(Januar!F19+Februar!F19+Marts!F19+April!F19+Maj!F19+Juni!F19+Juli!F19+August!F19+September!F19+Oktober!F19+November!F19+December!F19=0,"",Januar!F19+Februar!F19+Marts!F19+April!F19+Maj!F19+Juni!F19+Juli!F19+August!F19+September!F19+Oktober!F19+November!F19+December!F19)</f>
        <v>1026</v>
      </c>
      <c r="G19" s="15">
        <f>IF(Januar!G19+Februar!G19+Marts!G19+April!G19+Maj!G19+Juni!G19+Juli!G19+August!G19+September!G19+Oktober!G19+November!G19+December!G19=0,"",Januar!G19+Februar!G19+Marts!G19+April!G19+Maj!G19+Juni!G19+Juli!G19+August!G19+September!G19+Oktober!G19+November!G19+December!G19)</f>
        <v>7874</v>
      </c>
      <c r="H19" s="15">
        <f>IF(Januar!H19+Februar!H19+Marts!H19+April!H19+Maj!H19+Juni!H19+Juli!H19+August!H19+September!H19+Oktober!H19+November!H19+December!H19=0,"",Januar!H19+Februar!H19+Marts!H19+April!H19+Maj!H19+Juni!H19+Juli!H19+August!H19+September!H19+Oktober!H19+November!H19+December!H19)</f>
        <v>166</v>
      </c>
      <c r="I19" s="15">
        <f>IF(Januar!I19+Februar!I19+Marts!I19+April!I19+Maj!I19+Juni!I19+Juli!I19+August!I19+September!I19+Oktober!I19+November!I19+December!I19=0,"",Januar!I19+Februar!I19+Marts!I19+April!I19+Maj!I19+Juni!I19+Juli!I19+August!I19+September!I19+Oktober!I19+November!I19+December!I19)</f>
        <v>1167</v>
      </c>
      <c r="J19" s="15">
        <f>IF(Januar!J19+Februar!J19+Marts!J19+April!J19+Maj!J19+Juni!J19+Juli!J19+August!J19+September!J19+Oktober!J19+November!J19+December!J19=0,"",Januar!J19+Februar!J19+Marts!J19+April!J19+Maj!J19+Juni!J19+Juli!J19+August!J19+September!J19+Oktober!J19+November!J19+December!J19)</f>
        <v>2713</v>
      </c>
      <c r="K19" s="31">
        <f t="shared" si="4"/>
        <v>14313</v>
      </c>
    </row>
    <row r="20" spans="2:11" x14ac:dyDescent="0.25">
      <c r="B20" s="2" t="s">
        <v>12</v>
      </c>
      <c r="C20" s="15">
        <f>IF(Januar!C20+Februar!C20+Marts!C20+April!C20+Maj!C20+Juni!C20+Juli!C20+August!C20+September!C20+Oktober!C20+November!C20+December!C20=0,"",Januar!C20+Februar!C20+Marts!C20+April!C20+Maj!C20+Juni!C20+Juli!C20+August!C20+September!C20+Oktober!C20+November!C20+December!C20)</f>
        <v>13</v>
      </c>
      <c r="D20" s="15">
        <f>IF(Januar!D20+Februar!D20+Marts!D20+April!D20+Maj!D20+Juni!D20+Juli!D20+August!D20+September!D20+Oktober!D20+November!D20+December!D20=0,"",Januar!D20+Februar!D20+Marts!D20+April!D20+Maj!D20+Juni!D20+Juli!D20+August!D20+September!D20+Oktober!D20+November!D20+December!D20)</f>
        <v>1</v>
      </c>
      <c r="E20" s="15">
        <f>IF(Januar!E20+Februar!E20+Marts!E20+April!E20+Maj!E20+Juni!E20+Juli!E20+August!E20+September!E20+Oktober!E20+November!E20+December!E20=0,"",Januar!E20+Februar!E20+Marts!E20+April!E20+Maj!E20+Juni!E20+Juli!E20+August!E20+September!E20+Oktober!E20+November!E20+December!E20)</f>
        <v>13</v>
      </c>
      <c r="F20" s="15">
        <f>IF(Januar!F20+Februar!F20+Marts!F20+April!F20+Maj!F20+Juni!F20+Juli!F20+August!F20+September!F20+Oktober!F20+November!F20+December!F20=0,"",Januar!F20+Februar!F20+Marts!F20+April!F20+Maj!F20+Juni!F20+Juli!F20+August!F20+September!F20+Oktober!F20+November!F20+December!F20)</f>
        <v>6</v>
      </c>
      <c r="G20" s="15">
        <f>IF(Januar!G20+Februar!G20+Marts!G20+April!G20+Maj!G20+Juni!G20+Juli!G20+August!G20+September!G20+Oktober!G20+November!G20+December!G20=0,"",Januar!G20+Februar!G20+Marts!G20+April!G20+Maj!G20+Juni!G20+Juli!G20+August!G20+September!G20+Oktober!G20+November!G20+December!G20)</f>
        <v>282</v>
      </c>
      <c r="H20" s="15" t="str">
        <f>IF(Januar!H20+Februar!H20+Marts!H20+April!H20+Maj!H20+Juni!H20+Juli!H20+August!H20+September!H20+Oktober!H20+November!H20+December!H20=0,"",Januar!H20+Februar!H20+Marts!H20+April!H20+Maj!H20+Juni!H20+Juli!H20+August!H20+September!H20+Oktober!H20+November!H20+December!H20)</f>
        <v/>
      </c>
      <c r="I20" s="15">
        <f>IF(Januar!I20+Februar!I20+Marts!I20+April!I20+Maj!I20+Juni!I20+Juli!I20+August!I20+September!I20+Oktober!I20+November!I20+December!I20=0,"",Januar!I20+Februar!I20+Marts!I20+April!I20+Maj!I20+Juni!I20+Juli!I20+August!I20+September!I20+Oktober!I20+November!I20+December!I20)</f>
        <v>6</v>
      </c>
      <c r="J20" s="15">
        <f>IF(Januar!J20+Februar!J20+Marts!J20+April!J20+Maj!J20+Juni!J20+Juli!J20+August!J20+September!J20+Oktober!J20+November!J20+December!J20=0,"",Januar!J20+Februar!J20+Marts!J20+April!J20+Maj!J20+Juni!J20+Juli!J20+August!J20+September!J20+Oktober!J20+November!J20+December!J20)</f>
        <v>50</v>
      </c>
      <c r="K20" s="31">
        <f t="shared" si="4"/>
        <v>371</v>
      </c>
    </row>
    <row r="21" spans="2:11" x14ac:dyDescent="0.25">
      <c r="B21" s="10" t="s">
        <v>8</v>
      </c>
      <c r="C21" s="14">
        <f t="shared" ref="C21:J21" si="5">SUM(C17:C20)</f>
        <v>1758</v>
      </c>
      <c r="D21" s="14">
        <f t="shared" si="5"/>
        <v>332</v>
      </c>
      <c r="E21" s="14">
        <f t="shared" si="5"/>
        <v>1002</v>
      </c>
      <c r="F21" s="14">
        <f t="shared" si="5"/>
        <v>2074</v>
      </c>
      <c r="G21" s="14">
        <f t="shared" si="5"/>
        <v>9871</v>
      </c>
      <c r="H21" s="14">
        <f t="shared" si="5"/>
        <v>415</v>
      </c>
      <c r="I21" s="14">
        <f t="shared" si="5"/>
        <v>2975</v>
      </c>
      <c r="J21" s="14">
        <f t="shared" si="5"/>
        <v>4340</v>
      </c>
      <c r="K21" s="32">
        <f>SUM(C21:J21)</f>
        <v>22767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4" t="s">
        <v>7</v>
      </c>
      <c r="K23" s="30" t="s">
        <v>8</v>
      </c>
    </row>
    <row r="24" spans="2:11" x14ac:dyDescent="0.25">
      <c r="B24" s="2" t="s">
        <v>9</v>
      </c>
      <c r="C24" s="15">
        <f>IF(Januar!C24+Februar!C24+Marts!C24+April!C24+Maj!C24+Juni!C24+Juli!C24+August!C24+September!C24+Oktober!C24+November!C24+December!C24=0,"",Januar!C24+Februar!C24+Marts!C24+April!C24+Maj!C24+Juni!C24+Juli!C24+August!C24+September!C24+Oktober!C24+November!C24+December!C24)</f>
        <v>829</v>
      </c>
      <c r="D24" s="15">
        <f>IF(Januar!D24+Februar!D24+Marts!D24+April!D24+Maj!D24+Juni!D24+Juli!D24+August!D24+September!D24+Oktober!D24+November!D24+December!D24=0,"",Januar!D24+Februar!D24+Marts!D24+April!D24+Maj!D24+Juni!D24+Juli!D24+August!D24+September!D24+Oktober!D24+November!D24+December!D24)</f>
        <v>102</v>
      </c>
      <c r="E24" s="15">
        <f>IF(Januar!E24+Februar!E24+Marts!E24+April!E24+Maj!E24+Juni!E24+Juli!E24+August!E24+September!E24+Oktober!E24+November!E24+December!E24=0,"",Januar!E24+Februar!E24+Marts!E24+April!E24+Maj!E24+Juni!E24+Juli!E24+August!E24+September!E24+Oktober!E24+November!E24+December!E24)</f>
        <v>305</v>
      </c>
      <c r="F24" s="15">
        <f>IF(Januar!F24+Februar!F24+Marts!F24+April!F24+Maj!F24+Juni!F24+Juli!F24+August!F24+September!F24+Oktober!F24+November!F24+December!F24=0,"",Januar!F24+Februar!F24+Marts!F24+April!F24+Maj!F24+Juni!F24+Juli!F24+August!F24+September!F24+Oktober!F24+November!F24+December!F24)</f>
        <v>650</v>
      </c>
      <c r="G24" s="15">
        <f>IF(Januar!G24+Februar!G24+Marts!G24+April!G24+Maj!G24+Juni!G24+Juli!G24+August!G24+September!G24+Oktober!G24+November!G24+December!G24=0,"",Januar!G24+Februar!G24+Marts!G24+April!G24+Maj!G24+Juni!G24+Juli!G24+August!G24+September!G24+Oktober!G24+November!G24+December!G24)</f>
        <v>897</v>
      </c>
      <c r="H24" s="15">
        <f>IF(Januar!H24+Februar!H24+Marts!H24+April!H24+Maj!H24+Juni!H24+Juli!H24+August!H24+September!H24+Oktober!H24+November!H24+December!H24=0,"",Januar!H24+Februar!H24+Marts!H24+April!H24+Maj!H24+Juni!H24+Juli!H24+August!H24+September!H24+Oktober!H24+November!H24+December!H24)</f>
        <v>146</v>
      </c>
      <c r="I24" s="15">
        <f>IF(Januar!I24+Februar!I24+Marts!I24+April!I24+Maj!I24+Juni!I24+Juli!I24+August!I24+September!I24+Oktober!I24+November!I24+December!I24=0,"",Januar!I24+Februar!I24+Marts!I24+April!I24+Maj!I24+Juni!I24+Juli!I24+August!I24+September!I24+Oktober!I24+November!I24+December!I24)</f>
        <v>1315</v>
      </c>
      <c r="J24" s="15">
        <f>IF(Januar!J24+Februar!J24+Marts!J24+April!J24+Maj!J24+Juni!J24+Juli!J24+August!J24+September!J24+Oktober!J24+November!J24+December!J24=0,"",Januar!J24+Februar!J24+Marts!J24+April!J24+Maj!J24+Juni!J24+Juli!J24+August!J24+September!J24+Oktober!J24+November!J24+December!J24)</f>
        <v>522</v>
      </c>
      <c r="K24" s="31">
        <f>SUM(C24:J24)</f>
        <v>4766</v>
      </c>
    </row>
    <row r="25" spans="2:11" x14ac:dyDescent="0.25">
      <c r="B25" s="2" t="s">
        <v>10</v>
      </c>
      <c r="C25" s="15">
        <f>IF(Januar!C25+Februar!C25+Marts!C25+April!C25+Maj!C25+Juni!C25+Juli!C25+August!C25+September!C25+Oktober!C25+November!C25+December!C25=0,"",Januar!C25+Februar!C25+Marts!C25+April!C25+Maj!C25+Juni!C25+Juli!C25+August!C25+September!C25+Oktober!C25+November!C25+December!C25)</f>
        <v>515</v>
      </c>
      <c r="D25" s="15">
        <f>IF(Januar!D25+Februar!D25+Marts!D25+April!D25+Maj!D25+Juni!D25+Juli!D25+August!D25+September!D25+Oktober!D25+November!D25+December!D25=0,"",Januar!D25+Februar!D25+Marts!D25+April!D25+Maj!D25+Juni!D25+Juli!D25+August!D25+September!D25+Oktober!D25+November!D25+December!D25)</f>
        <v>82</v>
      </c>
      <c r="E25" s="15">
        <f>IF(Januar!E25+Februar!E25+Marts!E25+April!E25+Maj!E25+Juni!E25+Juli!E25+August!E25+September!E25+Oktober!E25+November!E25+December!E25=0,"",Januar!E25+Februar!E25+Marts!E25+April!E25+Maj!E25+Juni!E25+Juli!E25+August!E25+September!E25+Oktober!E25+November!E25+December!E25)</f>
        <v>215</v>
      </c>
      <c r="F25" s="15">
        <f>IF(Januar!F25+Februar!F25+Marts!F25+April!F25+Maj!F25+Juni!F25+Juli!F25+August!F25+September!F25+Oktober!F25+November!F25+December!F25=0,"",Januar!F25+Februar!F25+Marts!F25+April!F25+Maj!F25+Juni!F25+Juli!F25+August!F25+September!F25+Oktober!F25+November!F25+December!F25)</f>
        <v>657</v>
      </c>
      <c r="G25" s="15">
        <f>IF(Januar!G25+Februar!G25+Marts!G25+April!G25+Maj!G25+Juni!G25+Juli!G25+August!G25+September!G25+Oktober!G25+November!G25+December!G25=0,"",Januar!G25+Februar!G25+Marts!G25+April!G25+Maj!G25+Juni!G25+Juli!G25+August!G25+September!G25+Oktober!G25+November!G25+December!G25)</f>
        <v>1626</v>
      </c>
      <c r="H25" s="15">
        <f>IF(Januar!H25+Februar!H25+Marts!H25+April!H25+Maj!H25+Juni!H25+Juli!H25+August!H25+September!H25+Oktober!H25+November!H25+December!H25=0,"",Januar!H25+Februar!H25+Marts!H25+April!H25+Maj!H25+Juni!H25+Juli!H25+August!H25+September!H25+Oktober!H25+November!H25+December!H25)</f>
        <v>139</v>
      </c>
      <c r="I25" s="15">
        <f>IF(Januar!I25+Februar!I25+Marts!I25+April!I25+Maj!I25+Juni!I25+Juli!I25+August!I25+September!I25+Oktober!I25+November!I25+December!I25=0,"",Januar!I25+Februar!I25+Marts!I25+April!I25+Maj!I25+Juni!I25+Juli!I25+August!I25+September!I25+Oktober!I25+November!I25+December!I25)</f>
        <v>679</v>
      </c>
      <c r="J25" s="15">
        <f>IF(Januar!J25+Februar!J25+Marts!J25+April!J25+Maj!J25+Juni!J25+Juli!J25+August!J25+September!J25+Oktober!J25+November!J25+December!J25=0,"",Januar!J25+Februar!J25+Marts!J25+April!J25+Maj!J25+Juni!J25+Juli!J25+August!J25+September!J25+Oktober!J25+November!J25+December!J25)</f>
        <v>1489</v>
      </c>
      <c r="K25" s="31">
        <f t="shared" ref="K25:K27" si="6">SUM(C25:J25)</f>
        <v>5402</v>
      </c>
    </row>
    <row r="26" spans="2:11" x14ac:dyDescent="0.25">
      <c r="B26" s="3" t="s">
        <v>11</v>
      </c>
      <c r="C26" s="15">
        <f>IF(Januar!C26+Februar!C26+Marts!C26+April!C26+Maj!C26+Juni!C26+Juli!C26+August!C26+September!C26+Oktober!C26+November!C26+December!C26=0,"",Januar!C26+Februar!C26+Marts!C26+April!C26+Maj!C26+Juni!C26+Juli!C26+August!C26+September!C26+Oktober!C26+November!C26+December!C26)</f>
        <v>1139</v>
      </c>
      <c r="D26" s="15">
        <f>IF(Januar!D26+Februar!D26+Marts!D26+April!D26+Maj!D26+Juni!D26+Juli!D26+August!D26+September!D26+Oktober!D26+November!D26+December!D26=0,"",Januar!D26+Februar!D26+Marts!D26+April!D26+Maj!D26+Juni!D26+Juli!D26+August!D26+September!D26+Oktober!D26+November!D26+December!D26)</f>
        <v>163</v>
      </c>
      <c r="E26" s="15">
        <f>IF(Januar!E26+Februar!E26+Marts!E26+April!E26+Maj!E26+Juni!E26+Juli!E26+August!E26+September!E26+Oktober!E26+November!E26+December!E26=0,"",Januar!E26+Februar!E26+Marts!E26+April!E26+Maj!E26+Juni!E26+Juli!E26+August!E26+September!E26+Oktober!E26+November!E26+December!E26)</f>
        <v>373</v>
      </c>
      <c r="F26" s="15">
        <f>IF(Januar!F26+Februar!F26+Marts!F26+April!F26+Maj!F26+Juni!F26+Juli!F26+August!F26+September!F26+Oktober!F26+November!F26+December!F26=0,"",Januar!F26+Februar!F26+Marts!F26+April!F26+Maj!F26+Juni!F26+Juli!F26+August!F26+September!F26+Oktober!F26+November!F26+December!F26)</f>
        <v>1134</v>
      </c>
      <c r="G26" s="15">
        <f>IF(Januar!G26+Februar!G26+Marts!G26+April!G26+Maj!G26+Juni!G26+Juli!G26+August!G26+September!G26+Oktober!G26+November!G26+December!G26=0,"",Januar!G26+Februar!G26+Marts!G26+April!G26+Maj!G26+Juni!G26+Juli!G26+August!G26+September!G26+Oktober!G26+November!G26+December!G26)</f>
        <v>8406</v>
      </c>
      <c r="H26" s="15">
        <f>IF(Januar!H26+Februar!H26+Marts!H26+April!H26+Maj!H26+Juni!H26+Juli!H26+August!H26+September!H26+Oktober!H26+November!H26+December!H26=0,"",Januar!H26+Februar!H26+Marts!H26+April!H26+Maj!H26+Juni!H26+Juli!H26+August!H26+September!H26+Oktober!H26+November!H26+December!H26)</f>
        <v>200</v>
      </c>
      <c r="I26" s="15">
        <f>IF(Januar!I26+Februar!I26+Marts!I26+April!I26+Maj!I26+Juni!I26+Juli!I26+August!I26+September!I26+Oktober!I26+November!I26+December!I26=0,"",Januar!I26+Februar!I26+Marts!I26+April!I26+Maj!I26+Juni!I26+Juli!I26+August!I26+September!I26+Oktober!I26+November!I26+December!I26)</f>
        <v>1400</v>
      </c>
      <c r="J26" s="15">
        <f>IF(Januar!J26+Februar!J26+Marts!J26+April!J26+Maj!J26+Juni!J26+Juli!J26+August!J26+September!J26+Oktober!J26+November!J26+December!J26=0,"",Januar!J26+Februar!J26+Marts!J26+April!J26+Maj!J26+Juni!J26+Juli!J26+August!J26+September!J26+Oktober!J26+November!J26+December!J26)</f>
        <v>3266</v>
      </c>
      <c r="K26" s="31">
        <f t="shared" si="6"/>
        <v>16081</v>
      </c>
    </row>
    <row r="27" spans="2:11" x14ac:dyDescent="0.25">
      <c r="B27" s="2" t="s">
        <v>12</v>
      </c>
      <c r="C27" s="15">
        <f>IF(Januar!C27+Februar!C27+Marts!C27+April!C27+Maj!C27+Juni!C27+Juli!C27+August!C27+September!C27+Oktober!C27+November!C27+December!C27=0,"",Januar!C27+Februar!C27+Marts!C27+April!C27+Maj!C27+Juni!C27+Juli!C27+August!C27+September!C27+Oktober!C27+November!C27+December!C27)</f>
        <v>17</v>
      </c>
      <c r="D27" s="15">
        <f>IF(Januar!D27+Februar!D27+Marts!D27+April!D27+Maj!D27+Juni!D27+Juli!D27+August!D27+September!D27+Oktober!D27+November!D27+December!D27=0,"",Januar!D27+Februar!D27+Marts!D27+April!D27+Maj!D27+Juni!D27+Juli!D27+August!D27+September!D27+Oktober!D27+November!D27+December!D27)</f>
        <v>1</v>
      </c>
      <c r="E27" s="15">
        <f>IF(Januar!E27+Februar!E27+Marts!E27+April!E27+Maj!E27+Juni!E27+Juli!E27+August!E27+September!E27+Oktober!E27+November!E27+December!E27=0,"",Januar!E27+Februar!E27+Marts!E27+April!E27+Maj!E27+Juni!E27+Juli!E27+August!E27+September!E27+Oktober!E27+November!E27+December!E27)</f>
        <v>1</v>
      </c>
      <c r="F27" s="15">
        <f>IF(Januar!F27+Februar!F27+Marts!F27+April!F27+Maj!F27+Juni!F27+Juli!F27+August!F27+September!F27+Oktober!F27+November!F27+December!F27=0,"",Januar!F27+Februar!F27+Marts!F27+April!F27+Maj!F27+Juni!F27+Juli!F27+August!F27+September!F27+Oktober!F27+November!F27+December!F27)</f>
        <v>9</v>
      </c>
      <c r="G27" s="15">
        <f>IF(Januar!G27+Februar!G27+Marts!G27+April!G27+Maj!G27+Juni!G27+Juli!G27+August!G27+September!G27+Oktober!G27+November!G27+December!G27=0,"",Januar!G27+Februar!G27+Marts!G27+April!G27+Maj!G27+Juni!G27+Juli!G27+August!G27+September!G27+Oktober!G27+November!G27+December!G27)</f>
        <v>233</v>
      </c>
      <c r="H27" s="15">
        <f>IF(Januar!H27+Februar!H27+Marts!H27+April!H27+Maj!H27+Juni!H27+Juli!H27+August!H27+September!H27+Oktober!H27+November!H27+December!H27=0,"",Januar!H27+Februar!H27+Marts!H27+April!H27+Maj!H27+Juni!H27+Juli!H27+August!H27+September!H27+Oktober!H27+November!H27+December!H27)</f>
        <v>3</v>
      </c>
      <c r="I27" s="15">
        <f>IF(Januar!I27+Februar!I27+Marts!I27+April!I27+Maj!I27+Juni!I27+Juli!I27+August!I27+September!I27+Oktober!I27+November!I27+December!I27=0,"",Januar!I27+Februar!I27+Marts!I27+April!I27+Maj!I27+Juni!I27+Juli!I27+August!I27+September!I27+Oktober!I27+November!I27+December!I27)</f>
        <v>5</v>
      </c>
      <c r="J27" s="15">
        <f>IF(Januar!J27+Februar!J27+Marts!J27+April!J27+Maj!J27+Juni!J27+Juli!J27+August!J27+September!J27+Oktober!J27+November!J27+December!J27=0,"",Januar!J27+Februar!J27+Marts!J27+April!J27+Maj!J27+Juni!J27+Juli!J27+August!J27+September!J27+Oktober!J27+November!J27+December!J27)</f>
        <v>19</v>
      </c>
      <c r="K27" s="31">
        <f t="shared" si="6"/>
        <v>288</v>
      </c>
    </row>
    <row r="28" spans="2:11" x14ac:dyDescent="0.25">
      <c r="B28" s="10" t="s">
        <v>8</v>
      </c>
      <c r="C28" s="14">
        <f t="shared" ref="C28:J28" si="7">SUM(C24:C27)</f>
        <v>2500</v>
      </c>
      <c r="D28" s="14">
        <f t="shared" si="7"/>
        <v>348</v>
      </c>
      <c r="E28" s="14">
        <f t="shared" si="7"/>
        <v>894</v>
      </c>
      <c r="F28" s="14">
        <f t="shared" si="7"/>
        <v>2450</v>
      </c>
      <c r="G28" s="14">
        <f t="shared" si="7"/>
        <v>11162</v>
      </c>
      <c r="H28" s="14">
        <f t="shared" si="7"/>
        <v>488</v>
      </c>
      <c r="I28" s="14">
        <f t="shared" si="7"/>
        <v>3399</v>
      </c>
      <c r="J28" s="14">
        <f t="shared" si="7"/>
        <v>5296</v>
      </c>
      <c r="K28" s="32">
        <f>SUM(C28:J28)</f>
        <v>26537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0.42207053469852107</v>
      </c>
      <c r="D31" s="17">
        <f t="shared" ref="D31:J31" si="8">IFERROR(-(D21-D28)/D21,"")</f>
        <v>4.8192771084337352E-2</v>
      </c>
      <c r="E31" s="17">
        <f t="shared" si="8"/>
        <v>-0.10778443113772455</v>
      </c>
      <c r="F31" s="17">
        <f t="shared" si="8"/>
        <v>0.18129218900675023</v>
      </c>
      <c r="G31" s="17">
        <f t="shared" si="8"/>
        <v>0.13078715429034546</v>
      </c>
      <c r="H31" s="17">
        <f t="shared" si="8"/>
        <v>0.17590361445783131</v>
      </c>
      <c r="I31" s="17">
        <f t="shared" si="8"/>
        <v>0.14252100840336135</v>
      </c>
      <c r="J31" s="18">
        <f t="shared" si="8"/>
        <v>0.22027649769585253</v>
      </c>
      <c r="K31" s="18">
        <f>IFERROR(-(K21-K28)/K21,"")</f>
        <v>0.16559054772258092</v>
      </c>
    </row>
    <row r="35" spans="16:16" x14ac:dyDescent="0.25">
      <c r="P35" s="28"/>
    </row>
    <row r="36" spans="16:16" x14ac:dyDescent="0.25">
      <c r="P36" s="29"/>
    </row>
    <row r="37" spans="16:16" x14ac:dyDescent="0.25">
      <c r="P37" s="28"/>
    </row>
    <row r="38" spans="16:16" x14ac:dyDescent="0.25">
      <c r="P38" s="28"/>
    </row>
    <row r="39" spans="16:16" x14ac:dyDescent="0.25">
      <c r="P39" s="28"/>
    </row>
    <row r="40" spans="16:16" x14ac:dyDescent="0.25">
      <c r="P40" s="28"/>
    </row>
    <row r="41" spans="16:16" x14ac:dyDescent="0.25">
      <c r="P41" s="28"/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  <row r="57" spans="1:11" x14ac:dyDescent="0.25">
      <c r="A57" t="s">
        <v>16</v>
      </c>
    </row>
    <row r="58" spans="1:11" x14ac:dyDescent="0.25">
      <c r="A58" t="s">
        <v>17</v>
      </c>
    </row>
  </sheetData>
  <pageMargins left="0.7" right="0.7" top="0.75" bottom="0.75" header="0.3" footer="0.3"/>
  <pageSetup paperSize="9" scale="48" orientation="portrait" r:id="rId1"/>
  <rowBreaks count="1" manualBreakCount="1">
    <brk id="31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8379-81C3-4562-9997-09B32DFCACB1}">
  <dimension ref="A1:U55"/>
  <sheetViews>
    <sheetView showGridLines="0" workbookViewId="0">
      <selection activeCell="J26" sqref="J26"/>
    </sheetView>
  </sheetViews>
  <sheetFormatPr defaultRowHeight="15" x14ac:dyDescent="0.25"/>
  <cols>
    <col min="2" max="21" width="12.7109375" customWidth="1"/>
  </cols>
  <sheetData>
    <row r="1" spans="1:21" x14ac:dyDescent="0.25">
      <c r="A1" t="s">
        <v>28</v>
      </c>
      <c r="K1" s="1"/>
    </row>
    <row r="2" spans="1:2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21" x14ac:dyDescent="0.25">
      <c r="B3" s="2" t="s">
        <v>9</v>
      </c>
      <c r="C3" s="15">
        <v>78</v>
      </c>
      <c r="D3" s="15">
        <v>16</v>
      </c>
      <c r="E3" s="15">
        <v>1</v>
      </c>
      <c r="F3" s="15">
        <v>74</v>
      </c>
      <c r="G3" s="15"/>
      <c r="H3" s="15">
        <v>16</v>
      </c>
      <c r="I3" s="15">
        <v>96</v>
      </c>
      <c r="J3" s="16">
        <v>24</v>
      </c>
      <c r="K3" s="9">
        <f t="shared" ref="K3:K6" si="0">SUM(C3:J3)</f>
        <v>305</v>
      </c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B4" s="2" t="s">
        <v>10</v>
      </c>
      <c r="C4" s="15">
        <v>30</v>
      </c>
      <c r="D4" s="15">
        <f>1+3</f>
        <v>4</v>
      </c>
      <c r="E4" s="15"/>
      <c r="F4" s="15">
        <v>26</v>
      </c>
      <c r="G4" s="15">
        <v>39</v>
      </c>
      <c r="H4" s="15"/>
      <c r="I4" s="15">
        <v>25</v>
      </c>
      <c r="J4" s="16">
        <v>31</v>
      </c>
      <c r="K4" s="9">
        <f t="shared" si="0"/>
        <v>155</v>
      </c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3" t="s">
        <v>11</v>
      </c>
      <c r="C5" s="15">
        <v>47</v>
      </c>
      <c r="D5" s="15">
        <v>4</v>
      </c>
      <c r="E5" s="15"/>
      <c r="F5" s="15">
        <v>23</v>
      </c>
      <c r="G5" s="15">
        <f>226+99</f>
        <v>325</v>
      </c>
      <c r="H5" s="15">
        <v>11</v>
      </c>
      <c r="I5" s="15">
        <v>12</v>
      </c>
      <c r="J5" s="16">
        <v>69</v>
      </c>
      <c r="K5" s="9">
        <f t="shared" si="0"/>
        <v>491</v>
      </c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" t="s">
        <v>12</v>
      </c>
      <c r="C6" s="15"/>
      <c r="D6" s="15"/>
      <c r="E6" s="15"/>
      <c r="F6" s="15"/>
      <c r="G6" s="15">
        <v>8</v>
      </c>
      <c r="H6" s="15"/>
      <c r="I6" s="15"/>
      <c r="J6" s="16"/>
      <c r="K6" s="9">
        <f t="shared" si="0"/>
        <v>8</v>
      </c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B7" s="10" t="s">
        <v>8</v>
      </c>
      <c r="C7" s="14">
        <f t="shared" ref="C7:J7" si="1">SUM(C3:C6)</f>
        <v>155</v>
      </c>
      <c r="D7" s="14">
        <f t="shared" si="1"/>
        <v>24</v>
      </c>
      <c r="E7" s="14">
        <f t="shared" si="1"/>
        <v>1</v>
      </c>
      <c r="F7" s="14">
        <f t="shared" si="1"/>
        <v>123</v>
      </c>
      <c r="G7" s="14">
        <f t="shared" si="1"/>
        <v>372</v>
      </c>
      <c r="H7" s="14">
        <f t="shared" si="1"/>
        <v>27</v>
      </c>
      <c r="I7" s="14">
        <f t="shared" si="1"/>
        <v>133</v>
      </c>
      <c r="J7" s="13">
        <f t="shared" si="1"/>
        <v>124</v>
      </c>
      <c r="K7" s="13">
        <f>SUM(C7:J7)</f>
        <v>959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C8" s="1"/>
      <c r="D8" s="1"/>
      <c r="E8" s="1"/>
      <c r="F8" s="1"/>
      <c r="G8" s="1"/>
      <c r="H8" s="1"/>
      <c r="I8" s="1"/>
      <c r="J8" s="1"/>
    </row>
    <row r="9" spans="1:2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21" x14ac:dyDescent="0.25">
      <c r="B10" s="2" t="s">
        <v>9</v>
      </c>
      <c r="C10" s="15">
        <v>71</v>
      </c>
      <c r="D10" s="15">
        <v>13</v>
      </c>
      <c r="E10" s="15">
        <v>20</v>
      </c>
      <c r="F10" s="15">
        <v>54</v>
      </c>
      <c r="G10" s="15"/>
      <c r="H10" s="15">
        <v>18</v>
      </c>
      <c r="I10" s="15">
        <v>110</v>
      </c>
      <c r="J10" s="16">
        <v>18</v>
      </c>
      <c r="K10" s="9">
        <f t="shared" ref="K10:K13" si="2">SUM(C10:J10)</f>
        <v>304</v>
      </c>
    </row>
    <row r="11" spans="1:21" x14ac:dyDescent="0.25">
      <c r="B11" s="2" t="s">
        <v>10</v>
      </c>
      <c r="C11" s="15">
        <f>18+19</f>
        <v>37</v>
      </c>
      <c r="D11" s="15">
        <v>1</v>
      </c>
      <c r="E11" s="15">
        <f>3+14</f>
        <v>17</v>
      </c>
      <c r="F11" s="15">
        <f>3+16</f>
        <v>19</v>
      </c>
      <c r="G11" s="15">
        <f>27+61</f>
        <v>88</v>
      </c>
      <c r="H11" s="15">
        <f>3+5</f>
        <v>8</v>
      </c>
      <c r="I11" s="15">
        <f>12+23</f>
        <v>35</v>
      </c>
      <c r="J11" s="16">
        <f>18+43</f>
        <v>61</v>
      </c>
      <c r="K11" s="9">
        <f t="shared" si="2"/>
        <v>266</v>
      </c>
      <c r="M11" s="1"/>
    </row>
    <row r="12" spans="1:21" x14ac:dyDescent="0.25">
      <c r="B12" s="3" t="s">
        <v>11</v>
      </c>
      <c r="C12" s="15">
        <v>44</v>
      </c>
      <c r="D12" s="15">
        <v>2</v>
      </c>
      <c r="E12" s="15">
        <v>16</v>
      </c>
      <c r="F12" s="15">
        <v>48</v>
      </c>
      <c r="G12" s="15">
        <v>495</v>
      </c>
      <c r="H12" s="15">
        <v>6</v>
      </c>
      <c r="I12" s="15">
        <v>42</v>
      </c>
      <c r="J12" s="16">
        <v>120</v>
      </c>
      <c r="K12" s="9">
        <f t="shared" si="2"/>
        <v>773</v>
      </c>
    </row>
    <row r="13" spans="1:21" x14ac:dyDescent="0.25">
      <c r="B13" s="2" t="s">
        <v>12</v>
      </c>
      <c r="C13" s="15"/>
      <c r="D13" s="15">
        <v>1</v>
      </c>
      <c r="E13" s="15">
        <v>1</v>
      </c>
      <c r="F13" s="15">
        <v>2</v>
      </c>
      <c r="G13" s="15">
        <v>15</v>
      </c>
      <c r="H13" s="15"/>
      <c r="I13" s="15"/>
      <c r="J13" s="16">
        <v>1</v>
      </c>
      <c r="K13" s="9">
        <f t="shared" si="2"/>
        <v>20</v>
      </c>
    </row>
    <row r="14" spans="1:21" x14ac:dyDescent="0.25">
      <c r="B14" s="10" t="s">
        <v>8</v>
      </c>
      <c r="C14" s="14">
        <f t="shared" ref="C14:J14" si="3">SUM(C10:C13)</f>
        <v>152</v>
      </c>
      <c r="D14" s="14">
        <f t="shared" si="3"/>
        <v>17</v>
      </c>
      <c r="E14" s="14">
        <f t="shared" si="3"/>
        <v>54</v>
      </c>
      <c r="F14" s="14">
        <f t="shared" si="3"/>
        <v>123</v>
      </c>
      <c r="G14" s="14">
        <f t="shared" si="3"/>
        <v>598</v>
      </c>
      <c r="H14" s="14">
        <f t="shared" si="3"/>
        <v>32</v>
      </c>
      <c r="I14" s="14">
        <f t="shared" si="3"/>
        <v>187</v>
      </c>
      <c r="J14" s="13">
        <f t="shared" si="3"/>
        <v>200</v>
      </c>
      <c r="K14" s="13">
        <f>SUM(C14:J14)</f>
        <v>1363</v>
      </c>
    </row>
    <row r="16" spans="1:2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f>71+24</f>
        <v>95</v>
      </c>
      <c r="D17" s="15">
        <v>8</v>
      </c>
      <c r="E17" s="15">
        <v>34</v>
      </c>
      <c r="F17" s="15">
        <v>65</v>
      </c>
      <c r="G17" s="15">
        <v>5</v>
      </c>
      <c r="H17" s="15">
        <v>14</v>
      </c>
      <c r="I17" s="15">
        <v>206</v>
      </c>
      <c r="J17" s="16">
        <v>74</v>
      </c>
      <c r="K17" s="9">
        <f t="shared" ref="K17:K20" si="4">SUM(C17:J17)</f>
        <v>501</v>
      </c>
    </row>
    <row r="18" spans="2:11" x14ac:dyDescent="0.25">
      <c r="B18" s="2" t="s">
        <v>10</v>
      </c>
      <c r="C18" s="15">
        <f>15+7</f>
        <v>22</v>
      </c>
      <c r="D18" s="15">
        <v>1</v>
      </c>
      <c r="E18" s="15">
        <f>6+9</f>
        <v>15</v>
      </c>
      <c r="F18" s="15">
        <f>10+11</f>
        <v>21</v>
      </c>
      <c r="G18" s="15">
        <f>42+44</f>
        <v>86</v>
      </c>
      <c r="H18" s="15">
        <v>2</v>
      </c>
      <c r="I18" s="15">
        <f>12+5</f>
        <v>17</v>
      </c>
      <c r="J18" s="16">
        <f>21+22</f>
        <v>43</v>
      </c>
      <c r="K18" s="9">
        <f t="shared" si="4"/>
        <v>207</v>
      </c>
    </row>
    <row r="19" spans="2:11" x14ac:dyDescent="0.25">
      <c r="B19" s="3" t="s">
        <v>11</v>
      </c>
      <c r="C19" s="15">
        <f>21+22</f>
        <v>43</v>
      </c>
      <c r="D19" s="15">
        <v>3</v>
      </c>
      <c r="E19" s="15">
        <f>9+32</f>
        <v>41</v>
      </c>
      <c r="F19" s="15">
        <f>12+16</f>
        <v>28</v>
      </c>
      <c r="G19" s="15">
        <f>123+324</f>
        <v>447</v>
      </c>
      <c r="H19" s="15">
        <f>6+1</f>
        <v>7</v>
      </c>
      <c r="I19" s="15">
        <f>42+16</f>
        <v>58</v>
      </c>
      <c r="J19" s="16">
        <f>48+51</f>
        <v>99</v>
      </c>
      <c r="K19" s="9">
        <f t="shared" si="4"/>
        <v>726</v>
      </c>
    </row>
    <row r="20" spans="2:11" x14ac:dyDescent="0.25">
      <c r="B20" s="2" t="s">
        <v>12</v>
      </c>
      <c r="C20" s="15">
        <v>2</v>
      </c>
      <c r="D20" s="15"/>
      <c r="E20" s="15"/>
      <c r="F20" s="15"/>
      <c r="G20" s="15">
        <f>19+3</f>
        <v>22</v>
      </c>
      <c r="H20" s="15"/>
      <c r="I20" s="15"/>
      <c r="J20" s="16"/>
      <c r="K20" s="9">
        <f t="shared" si="4"/>
        <v>24</v>
      </c>
    </row>
    <row r="21" spans="2:11" x14ac:dyDescent="0.25">
      <c r="B21" s="10" t="s">
        <v>8</v>
      </c>
      <c r="C21" s="14">
        <f t="shared" ref="C21:J21" si="5">SUM(C17:C20)</f>
        <v>162</v>
      </c>
      <c r="D21" s="14">
        <f t="shared" si="5"/>
        <v>12</v>
      </c>
      <c r="E21" s="14">
        <f t="shared" si="5"/>
        <v>90</v>
      </c>
      <c r="F21" s="14">
        <f t="shared" si="5"/>
        <v>114</v>
      </c>
      <c r="G21" s="14">
        <f t="shared" si="5"/>
        <v>560</v>
      </c>
      <c r="H21" s="14">
        <f t="shared" si="5"/>
        <v>23</v>
      </c>
      <c r="I21" s="14">
        <f t="shared" si="5"/>
        <v>281</v>
      </c>
      <c r="J21" s="13">
        <f t="shared" si="5"/>
        <v>216</v>
      </c>
      <c r="K21" s="13">
        <f>SUM(C21:J21)</f>
        <v>1458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v>102</v>
      </c>
      <c r="D24" s="15">
        <v>12</v>
      </c>
      <c r="E24" s="15">
        <v>50</v>
      </c>
      <c r="F24" s="15">
        <v>68</v>
      </c>
      <c r="G24" s="15">
        <v>96</v>
      </c>
      <c r="H24" s="15">
        <v>15</v>
      </c>
      <c r="I24" s="15">
        <v>199</v>
      </c>
      <c r="J24" s="16">
        <f>31+24</f>
        <v>55</v>
      </c>
      <c r="K24" s="9">
        <f t="shared" ref="K24:K27" si="6">SUM(C24:J24)</f>
        <v>597</v>
      </c>
    </row>
    <row r="25" spans="2:11" x14ac:dyDescent="0.25">
      <c r="B25" s="2" t="s">
        <v>10</v>
      </c>
      <c r="C25" s="15">
        <f>12+13</f>
        <v>25</v>
      </c>
      <c r="D25" s="15">
        <v>1</v>
      </c>
      <c r="E25" s="15">
        <f>3+18</f>
        <v>21</v>
      </c>
      <c r="F25" s="15">
        <f>12+16</f>
        <v>28</v>
      </c>
      <c r="G25" s="15">
        <f>24+49</f>
        <v>73</v>
      </c>
      <c r="H25" s="15">
        <v>2</v>
      </c>
      <c r="I25" s="15">
        <f>9+4</f>
        <v>13</v>
      </c>
      <c r="J25" s="16">
        <f>18+26</f>
        <v>44</v>
      </c>
      <c r="K25" s="9">
        <f t="shared" si="6"/>
        <v>207</v>
      </c>
    </row>
    <row r="26" spans="2:11" x14ac:dyDescent="0.25">
      <c r="B26" s="3" t="s">
        <v>11</v>
      </c>
      <c r="C26" s="15">
        <f>18+11</f>
        <v>29</v>
      </c>
      <c r="D26" s="15">
        <v>8</v>
      </c>
      <c r="E26" s="15">
        <f>9+22</f>
        <v>31</v>
      </c>
      <c r="F26" s="15">
        <f>25+29</f>
        <v>54</v>
      </c>
      <c r="G26" s="15">
        <f>142+360</f>
        <v>502</v>
      </c>
      <c r="H26" s="15">
        <v>11</v>
      </c>
      <c r="I26" s="15">
        <f>6+22</f>
        <v>28</v>
      </c>
      <c r="J26" s="16">
        <f>24+44</f>
        <v>68</v>
      </c>
      <c r="K26" s="9">
        <f t="shared" si="6"/>
        <v>731</v>
      </c>
    </row>
    <row r="27" spans="2:11" x14ac:dyDescent="0.25">
      <c r="B27" s="2" t="s">
        <v>12</v>
      </c>
      <c r="C27" s="15"/>
      <c r="D27" s="15"/>
      <c r="E27" s="15"/>
      <c r="F27" s="15"/>
      <c r="G27" s="15">
        <v>13</v>
      </c>
      <c r="H27" s="15"/>
      <c r="I27" s="15"/>
      <c r="J27" s="16"/>
      <c r="K27" s="9">
        <f t="shared" si="6"/>
        <v>13</v>
      </c>
    </row>
    <row r="28" spans="2:11" x14ac:dyDescent="0.25">
      <c r="B28" s="10" t="s">
        <v>8</v>
      </c>
      <c r="C28" s="14">
        <f t="shared" ref="C28:J28" si="7">SUM(C24:C27)</f>
        <v>156</v>
      </c>
      <c r="D28" s="14">
        <f t="shared" si="7"/>
        <v>21</v>
      </c>
      <c r="E28" s="14">
        <f t="shared" si="7"/>
        <v>102</v>
      </c>
      <c r="F28" s="14">
        <f t="shared" si="7"/>
        <v>150</v>
      </c>
      <c r="G28" s="14">
        <f t="shared" si="7"/>
        <v>684</v>
      </c>
      <c r="H28" s="14">
        <f t="shared" si="7"/>
        <v>28</v>
      </c>
      <c r="I28" s="14">
        <f t="shared" si="7"/>
        <v>240</v>
      </c>
      <c r="J28" s="13">
        <f t="shared" si="7"/>
        <v>167</v>
      </c>
      <c r="K28" s="13">
        <f>SUM(C28:J28)</f>
        <v>1548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-3.7037037037037035E-2</v>
      </c>
      <c r="D31" s="17">
        <f t="shared" ref="D31:K31" si="8">IFERROR(-(D21-D28)/D21,"")</f>
        <v>0.75</v>
      </c>
      <c r="E31" s="17">
        <f t="shared" si="8"/>
        <v>0.13333333333333333</v>
      </c>
      <c r="F31" s="17">
        <f t="shared" si="8"/>
        <v>0.31578947368421051</v>
      </c>
      <c r="G31" s="17">
        <f t="shared" si="8"/>
        <v>0.22142857142857142</v>
      </c>
      <c r="H31" s="17">
        <f t="shared" si="8"/>
        <v>0.21739130434782608</v>
      </c>
      <c r="I31" s="17">
        <f t="shared" si="8"/>
        <v>-0.14590747330960854</v>
      </c>
      <c r="J31" s="18">
        <f t="shared" si="8"/>
        <v>-0.22685185185185186</v>
      </c>
      <c r="K31" s="18">
        <f t="shared" si="8"/>
        <v>6.1728395061728392E-2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D670-72CD-4812-AE81-4C5E96F0C85B}">
  <dimension ref="A1:U55"/>
  <sheetViews>
    <sheetView showGridLines="0" workbookViewId="0">
      <selection activeCell="J24" sqref="J24"/>
    </sheetView>
  </sheetViews>
  <sheetFormatPr defaultRowHeight="15" x14ac:dyDescent="0.25"/>
  <cols>
    <col min="2" max="21" width="12.7109375" customWidth="1"/>
  </cols>
  <sheetData>
    <row r="1" spans="1:21" x14ac:dyDescent="0.25">
      <c r="A1" t="s">
        <v>29</v>
      </c>
      <c r="K1" s="1"/>
    </row>
    <row r="2" spans="1:2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21" x14ac:dyDescent="0.25">
      <c r="B3" s="2" t="s">
        <v>9</v>
      </c>
      <c r="C3" s="15">
        <v>50</v>
      </c>
      <c r="D3" s="15">
        <v>6</v>
      </c>
      <c r="E3" s="15"/>
      <c r="F3" s="15">
        <v>17</v>
      </c>
      <c r="G3" s="15"/>
      <c r="H3" s="15">
        <v>5</v>
      </c>
      <c r="I3" s="15">
        <v>49</v>
      </c>
      <c r="J3" s="16">
        <v>7</v>
      </c>
      <c r="K3" s="9">
        <f t="shared" ref="K3:K6" si="0">SUM(C3:J3)</f>
        <v>134</v>
      </c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B4" s="2" t="s">
        <v>10</v>
      </c>
      <c r="C4" s="15">
        <v>15</v>
      </c>
      <c r="D4" s="15">
        <v>1</v>
      </c>
      <c r="E4" s="15"/>
      <c r="F4" s="15">
        <v>12</v>
      </c>
      <c r="G4" s="15">
        <v>4</v>
      </c>
      <c r="H4" s="15">
        <v>5</v>
      </c>
      <c r="I4" s="15"/>
      <c r="J4" s="16">
        <v>1</v>
      </c>
      <c r="K4" s="9">
        <f t="shared" si="0"/>
        <v>38</v>
      </c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3" t="s">
        <v>11</v>
      </c>
      <c r="C5" s="15">
        <v>2</v>
      </c>
      <c r="D5" s="15"/>
      <c r="E5" s="15"/>
      <c r="F5" s="15">
        <v>10</v>
      </c>
      <c r="G5" s="15">
        <v>77</v>
      </c>
      <c r="H5" s="15">
        <v>8</v>
      </c>
      <c r="I5" s="15">
        <v>3</v>
      </c>
      <c r="J5" s="16">
        <v>23</v>
      </c>
      <c r="K5" s="9">
        <f t="shared" si="0"/>
        <v>123</v>
      </c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" t="s">
        <v>12</v>
      </c>
      <c r="C6" s="15"/>
      <c r="D6" s="15"/>
      <c r="E6" s="15"/>
      <c r="F6" s="15"/>
      <c r="G6" s="15"/>
      <c r="H6" s="15"/>
      <c r="I6" s="15"/>
      <c r="J6" s="16"/>
      <c r="K6" s="9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B7" s="10" t="s">
        <v>8</v>
      </c>
      <c r="C7" s="14">
        <f t="shared" ref="C7:J7" si="1">SUM(C3:C6)</f>
        <v>67</v>
      </c>
      <c r="D7" s="14">
        <f t="shared" si="1"/>
        <v>7</v>
      </c>
      <c r="E7" s="14">
        <f t="shared" si="1"/>
        <v>0</v>
      </c>
      <c r="F7" s="14">
        <f t="shared" si="1"/>
        <v>39</v>
      </c>
      <c r="G7" s="14">
        <f t="shared" si="1"/>
        <v>81</v>
      </c>
      <c r="H7" s="14">
        <f t="shared" si="1"/>
        <v>18</v>
      </c>
      <c r="I7" s="14">
        <f t="shared" si="1"/>
        <v>52</v>
      </c>
      <c r="J7" s="13">
        <f t="shared" si="1"/>
        <v>31</v>
      </c>
      <c r="K7" s="13">
        <f>SUM(C7:J7)</f>
        <v>295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C8" s="1"/>
      <c r="D8" s="1"/>
      <c r="E8" s="1"/>
      <c r="F8" s="1"/>
      <c r="G8" s="1"/>
      <c r="H8" s="1"/>
      <c r="I8" s="1"/>
      <c r="J8" s="1"/>
    </row>
    <row r="9" spans="1:2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21" x14ac:dyDescent="0.25">
      <c r="B10" s="2" t="s">
        <v>9</v>
      </c>
      <c r="C10" s="15">
        <v>17</v>
      </c>
      <c r="D10" s="15">
        <v>1</v>
      </c>
      <c r="E10" s="15">
        <v>1</v>
      </c>
      <c r="F10" s="15">
        <v>14</v>
      </c>
      <c r="G10" s="15"/>
      <c r="H10" s="15">
        <v>4</v>
      </c>
      <c r="I10" s="15">
        <v>34</v>
      </c>
      <c r="J10" s="16">
        <v>8</v>
      </c>
      <c r="K10" s="9">
        <f t="shared" ref="K10:K13" si="2">SUM(C10:J10)</f>
        <v>79</v>
      </c>
    </row>
    <row r="11" spans="1:21" x14ac:dyDescent="0.25">
      <c r="B11" s="2" t="s">
        <v>10</v>
      </c>
      <c r="C11" s="15">
        <v>3</v>
      </c>
      <c r="D11" s="15">
        <v>1</v>
      </c>
      <c r="E11" s="15">
        <v>1</v>
      </c>
      <c r="F11" s="15">
        <f>3+2</f>
        <v>5</v>
      </c>
      <c r="G11" s="15">
        <v>5</v>
      </c>
      <c r="H11" s="15">
        <f>3+5</f>
        <v>8</v>
      </c>
      <c r="I11" s="15">
        <v>1</v>
      </c>
      <c r="J11" s="16">
        <f>3+5</f>
        <v>8</v>
      </c>
      <c r="K11" s="9">
        <f t="shared" si="2"/>
        <v>32</v>
      </c>
      <c r="M11" s="1"/>
    </row>
    <row r="12" spans="1:21" x14ac:dyDescent="0.25">
      <c r="B12" s="3" t="s">
        <v>11</v>
      </c>
      <c r="C12" s="15">
        <v>6</v>
      </c>
      <c r="D12" s="15"/>
      <c r="E12" s="15">
        <v>1</v>
      </c>
      <c r="F12" s="15">
        <v>21</v>
      </c>
      <c r="G12" s="15">
        <v>45</v>
      </c>
      <c r="H12" s="15">
        <f>3</f>
        <v>3</v>
      </c>
      <c r="I12" s="15">
        <v>9</v>
      </c>
      <c r="J12" s="16">
        <f>15+5</f>
        <v>20</v>
      </c>
      <c r="K12" s="9">
        <f t="shared" si="2"/>
        <v>105</v>
      </c>
    </row>
    <row r="13" spans="1:21" x14ac:dyDescent="0.25">
      <c r="B13" s="2" t="s">
        <v>12</v>
      </c>
      <c r="C13" s="15"/>
      <c r="D13" s="15"/>
      <c r="E13" s="15"/>
      <c r="F13" s="15"/>
      <c r="G13" s="15">
        <v>1</v>
      </c>
      <c r="H13" s="15"/>
      <c r="I13" s="15"/>
      <c r="J13" s="16">
        <v>1</v>
      </c>
      <c r="K13" s="9">
        <f t="shared" si="2"/>
        <v>2</v>
      </c>
    </row>
    <row r="14" spans="1:21" x14ac:dyDescent="0.25">
      <c r="B14" s="10" t="s">
        <v>8</v>
      </c>
      <c r="C14" s="14">
        <f t="shared" ref="C14:J14" si="3">SUM(C10:C13)</f>
        <v>26</v>
      </c>
      <c r="D14" s="14">
        <f t="shared" si="3"/>
        <v>2</v>
      </c>
      <c r="E14" s="14">
        <f t="shared" si="3"/>
        <v>3</v>
      </c>
      <c r="F14" s="14">
        <f t="shared" si="3"/>
        <v>40</v>
      </c>
      <c r="G14" s="14">
        <f t="shared" si="3"/>
        <v>51</v>
      </c>
      <c r="H14" s="14">
        <f t="shared" si="3"/>
        <v>15</v>
      </c>
      <c r="I14" s="14">
        <f t="shared" si="3"/>
        <v>44</v>
      </c>
      <c r="J14" s="13">
        <f t="shared" si="3"/>
        <v>37</v>
      </c>
      <c r="K14" s="13">
        <f>SUM(C14:J14)</f>
        <v>218</v>
      </c>
    </row>
    <row r="16" spans="1:2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v>30</v>
      </c>
      <c r="D17" s="15">
        <v>4</v>
      </c>
      <c r="E17" s="15">
        <v>16</v>
      </c>
      <c r="F17" s="15">
        <v>19</v>
      </c>
      <c r="G17" s="15"/>
      <c r="H17" s="15">
        <v>3</v>
      </c>
      <c r="I17" s="15">
        <v>91</v>
      </c>
      <c r="J17" s="16">
        <v>17</v>
      </c>
      <c r="K17" s="9">
        <f t="shared" ref="K17:K20" si="4">SUM(C17:J17)</f>
        <v>180</v>
      </c>
    </row>
    <row r="18" spans="2:11" x14ac:dyDescent="0.25">
      <c r="B18" s="2" t="s">
        <v>10</v>
      </c>
      <c r="C18" s="15">
        <v>3</v>
      </c>
      <c r="D18" s="15"/>
      <c r="E18" s="15">
        <v>4</v>
      </c>
      <c r="F18" s="15">
        <f>3+4</f>
        <v>7</v>
      </c>
      <c r="G18" s="15">
        <f>3+11</f>
        <v>14</v>
      </c>
      <c r="H18" s="15"/>
      <c r="I18" s="15">
        <f>1</f>
        <v>1</v>
      </c>
      <c r="J18" s="16">
        <f>2</f>
        <v>2</v>
      </c>
      <c r="K18" s="9">
        <f t="shared" si="4"/>
        <v>31</v>
      </c>
    </row>
    <row r="19" spans="2:11" x14ac:dyDescent="0.25">
      <c r="B19" s="3" t="s">
        <v>11</v>
      </c>
      <c r="C19" s="15">
        <v>1</v>
      </c>
      <c r="D19" s="15"/>
      <c r="E19" s="15">
        <v>2</v>
      </c>
      <c r="F19" s="15">
        <f>6+13</f>
        <v>19</v>
      </c>
      <c r="G19" s="15">
        <f>9+44</f>
        <v>53</v>
      </c>
      <c r="H19" s="15"/>
      <c r="I19" s="15">
        <f>3+1</f>
        <v>4</v>
      </c>
      <c r="J19" s="16">
        <f>12+8</f>
        <v>20</v>
      </c>
      <c r="K19" s="9">
        <f t="shared" si="4"/>
        <v>99</v>
      </c>
    </row>
    <row r="20" spans="2:11" x14ac:dyDescent="0.25">
      <c r="B20" s="2" t="s">
        <v>12</v>
      </c>
      <c r="C20" s="15"/>
      <c r="D20" s="15"/>
      <c r="E20" s="15"/>
      <c r="F20" s="15"/>
      <c r="G20" s="15">
        <v>5</v>
      </c>
      <c r="H20" s="15"/>
      <c r="I20" s="15"/>
      <c r="J20" s="16">
        <v>4</v>
      </c>
      <c r="K20" s="9">
        <f t="shared" si="4"/>
        <v>9</v>
      </c>
    </row>
    <row r="21" spans="2:11" x14ac:dyDescent="0.25">
      <c r="B21" s="10" t="s">
        <v>8</v>
      </c>
      <c r="C21" s="14">
        <f t="shared" ref="C21:J21" si="5">SUM(C17:C20)</f>
        <v>34</v>
      </c>
      <c r="D21" s="14">
        <f t="shared" si="5"/>
        <v>4</v>
      </c>
      <c r="E21" s="14">
        <f t="shared" si="5"/>
        <v>22</v>
      </c>
      <c r="F21" s="14">
        <f t="shared" si="5"/>
        <v>45</v>
      </c>
      <c r="G21" s="14">
        <f t="shared" si="5"/>
        <v>72</v>
      </c>
      <c r="H21" s="14">
        <f t="shared" si="5"/>
        <v>3</v>
      </c>
      <c r="I21" s="14">
        <f t="shared" si="5"/>
        <v>96</v>
      </c>
      <c r="J21" s="13">
        <f t="shared" si="5"/>
        <v>43</v>
      </c>
      <c r="K21" s="13">
        <f>SUM(C21:J21)</f>
        <v>319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v>47</v>
      </c>
      <c r="D24" s="15">
        <v>5</v>
      </c>
      <c r="E24" s="15">
        <v>22</v>
      </c>
      <c r="F24" s="15">
        <v>7</v>
      </c>
      <c r="G24" s="15">
        <f>2</f>
        <v>2</v>
      </c>
      <c r="H24" s="15">
        <v>9</v>
      </c>
      <c r="I24" s="15">
        <v>65</v>
      </c>
      <c r="J24" s="16">
        <f>5+9</f>
        <v>14</v>
      </c>
      <c r="K24" s="9">
        <f t="shared" ref="K24:K27" si="6">SUM(C24:J24)</f>
        <v>171</v>
      </c>
    </row>
    <row r="25" spans="2:11" x14ac:dyDescent="0.25">
      <c r="B25" s="2" t="s">
        <v>10</v>
      </c>
      <c r="C25" s="15">
        <v>2</v>
      </c>
      <c r="D25" s="15">
        <v>2</v>
      </c>
      <c r="E25" s="15">
        <v>2</v>
      </c>
      <c r="F25" s="15">
        <f>3+3</f>
        <v>6</v>
      </c>
      <c r="G25" s="15">
        <f>10</f>
        <v>10</v>
      </c>
      <c r="H25" s="15">
        <v>2</v>
      </c>
      <c r="I25" s="15">
        <v>1</v>
      </c>
      <c r="J25" s="16">
        <f>3+4</f>
        <v>7</v>
      </c>
      <c r="K25" s="9">
        <f t="shared" si="6"/>
        <v>32</v>
      </c>
    </row>
    <row r="26" spans="2:11" x14ac:dyDescent="0.25">
      <c r="B26" s="3" t="s">
        <v>11</v>
      </c>
      <c r="C26" s="15">
        <v>2</v>
      </c>
      <c r="D26" s="15"/>
      <c r="E26" s="15"/>
      <c r="F26" s="15">
        <f>9+6</f>
        <v>15</v>
      </c>
      <c r="G26" s="15">
        <f>18+45</f>
        <v>63</v>
      </c>
      <c r="H26" s="15">
        <v>6</v>
      </c>
      <c r="I26" s="15">
        <v>3</v>
      </c>
      <c r="J26" s="16">
        <f>22+4</f>
        <v>26</v>
      </c>
      <c r="K26" s="9">
        <f t="shared" si="6"/>
        <v>115</v>
      </c>
    </row>
    <row r="27" spans="2:11" x14ac:dyDescent="0.25">
      <c r="B27" s="2" t="s">
        <v>12</v>
      </c>
      <c r="C27" s="15">
        <v>1</v>
      </c>
      <c r="D27" s="15"/>
      <c r="E27" s="15"/>
      <c r="F27" s="15"/>
      <c r="G27" s="15">
        <v>4</v>
      </c>
      <c r="H27" s="15"/>
      <c r="I27" s="15">
        <v>1</v>
      </c>
      <c r="J27" s="16"/>
      <c r="K27" s="9">
        <f t="shared" si="6"/>
        <v>6</v>
      </c>
    </row>
    <row r="28" spans="2:11" x14ac:dyDescent="0.25">
      <c r="B28" s="10" t="s">
        <v>8</v>
      </c>
      <c r="C28" s="14">
        <f t="shared" ref="C28:J28" si="7">SUM(C24:C27)</f>
        <v>52</v>
      </c>
      <c r="D28" s="14">
        <f t="shared" si="7"/>
        <v>7</v>
      </c>
      <c r="E28" s="14">
        <f t="shared" si="7"/>
        <v>24</v>
      </c>
      <c r="F28" s="14">
        <f t="shared" si="7"/>
        <v>28</v>
      </c>
      <c r="G28" s="14">
        <f t="shared" si="7"/>
        <v>79</v>
      </c>
      <c r="H28" s="14">
        <f t="shared" si="7"/>
        <v>17</v>
      </c>
      <c r="I28" s="14">
        <f t="shared" si="7"/>
        <v>70</v>
      </c>
      <c r="J28" s="13">
        <f t="shared" si="7"/>
        <v>47</v>
      </c>
      <c r="K28" s="13">
        <f>SUM(C28:J28)</f>
        <v>324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0.52941176470588236</v>
      </c>
      <c r="D31" s="17">
        <f t="shared" ref="D31:K31" si="8">IFERROR(-(D21-D28)/D21,"")</f>
        <v>0.75</v>
      </c>
      <c r="E31" s="17">
        <f t="shared" si="8"/>
        <v>9.0909090909090912E-2</v>
      </c>
      <c r="F31" s="17">
        <f t="shared" si="8"/>
        <v>-0.37777777777777777</v>
      </c>
      <c r="G31" s="17">
        <f t="shared" si="8"/>
        <v>9.7222222222222224E-2</v>
      </c>
      <c r="H31" s="17">
        <f t="shared" si="8"/>
        <v>4.666666666666667</v>
      </c>
      <c r="I31" s="17">
        <f t="shared" si="8"/>
        <v>-0.27083333333333331</v>
      </c>
      <c r="J31" s="18">
        <f t="shared" si="8"/>
        <v>9.3023255813953487E-2</v>
      </c>
      <c r="K31" s="18">
        <f t="shared" si="8"/>
        <v>1.5673981191222569E-2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4E62-1511-41F2-8EE6-5B7D358089D7}">
  <dimension ref="A1:U55"/>
  <sheetViews>
    <sheetView showGridLines="0" workbookViewId="0">
      <selection activeCell="M24" sqref="M24"/>
    </sheetView>
  </sheetViews>
  <sheetFormatPr defaultRowHeight="15" x14ac:dyDescent="0.25"/>
  <cols>
    <col min="2" max="21" width="12.7109375" customWidth="1"/>
  </cols>
  <sheetData>
    <row r="1" spans="1:21" x14ac:dyDescent="0.25">
      <c r="A1" t="s">
        <v>30</v>
      </c>
      <c r="K1" s="1"/>
    </row>
    <row r="2" spans="1:2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21" x14ac:dyDescent="0.25">
      <c r="B3" s="2" t="s">
        <v>9</v>
      </c>
      <c r="C3" s="15">
        <v>10</v>
      </c>
      <c r="D3" s="15">
        <v>3</v>
      </c>
      <c r="E3" s="15">
        <v>3</v>
      </c>
      <c r="F3" s="15">
        <v>2</v>
      </c>
      <c r="G3" s="15"/>
      <c r="H3" s="15">
        <v>4</v>
      </c>
      <c r="I3" s="15">
        <v>7</v>
      </c>
      <c r="J3" s="16"/>
      <c r="K3" s="9">
        <f t="shared" ref="K3:K6" si="0">SUM(C3:J3)</f>
        <v>29</v>
      </c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B4" s="2" t="s">
        <v>10</v>
      </c>
      <c r="C4" s="15">
        <v>1</v>
      </c>
      <c r="D4" s="15"/>
      <c r="E4" s="15">
        <v>7</v>
      </c>
      <c r="F4" s="15"/>
      <c r="G4" s="15">
        <v>6</v>
      </c>
      <c r="H4" s="15">
        <v>2</v>
      </c>
      <c r="I4" s="15"/>
      <c r="J4" s="16">
        <v>1</v>
      </c>
      <c r="K4" s="9">
        <f t="shared" si="0"/>
        <v>17</v>
      </c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3" t="s">
        <v>11</v>
      </c>
      <c r="C5" s="15">
        <v>1</v>
      </c>
      <c r="D5" s="15"/>
      <c r="E5" s="15"/>
      <c r="F5" s="15"/>
      <c r="G5" s="15">
        <v>4</v>
      </c>
      <c r="H5" s="15"/>
      <c r="I5" s="15"/>
      <c r="J5" s="16"/>
      <c r="K5" s="9">
        <f t="shared" si="0"/>
        <v>5</v>
      </c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" t="s">
        <v>12</v>
      </c>
      <c r="C6" s="15"/>
      <c r="D6" s="15"/>
      <c r="E6" s="15"/>
      <c r="F6" s="15"/>
      <c r="G6" s="15"/>
      <c r="H6" s="15"/>
      <c r="I6" s="15"/>
      <c r="J6" s="16"/>
      <c r="K6" s="9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B7" s="10" t="s">
        <v>8</v>
      </c>
      <c r="C7" s="14">
        <f t="shared" ref="C7:J7" si="1">SUM(C3:C6)</f>
        <v>12</v>
      </c>
      <c r="D7" s="14">
        <f t="shared" si="1"/>
        <v>3</v>
      </c>
      <c r="E7" s="14">
        <f t="shared" si="1"/>
        <v>10</v>
      </c>
      <c r="F7" s="14">
        <f t="shared" si="1"/>
        <v>2</v>
      </c>
      <c r="G7" s="14">
        <f t="shared" si="1"/>
        <v>10</v>
      </c>
      <c r="H7" s="14">
        <f t="shared" si="1"/>
        <v>6</v>
      </c>
      <c r="I7" s="14">
        <f t="shared" si="1"/>
        <v>7</v>
      </c>
      <c r="J7" s="13">
        <f t="shared" si="1"/>
        <v>1</v>
      </c>
      <c r="K7" s="13">
        <f>SUM(C7:J7)</f>
        <v>51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C8" s="1"/>
      <c r="D8" s="1"/>
      <c r="E8" s="1"/>
      <c r="F8" s="1"/>
      <c r="G8" s="1"/>
      <c r="H8" s="1"/>
      <c r="I8" s="1"/>
      <c r="J8" s="1"/>
    </row>
    <row r="9" spans="1:2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21" x14ac:dyDescent="0.25">
      <c r="B10" s="2" t="s">
        <v>9</v>
      </c>
      <c r="C10" s="15"/>
      <c r="D10" s="15">
        <v>1</v>
      </c>
      <c r="E10" s="15"/>
      <c r="F10" s="15">
        <v>1</v>
      </c>
      <c r="G10" s="15"/>
      <c r="H10" s="15">
        <v>4</v>
      </c>
      <c r="I10" s="15">
        <v>6</v>
      </c>
      <c r="J10" s="16"/>
      <c r="K10" s="9">
        <f t="shared" ref="K10:K13" si="2">SUM(C10:J10)</f>
        <v>12</v>
      </c>
    </row>
    <row r="11" spans="1:21" x14ac:dyDescent="0.25">
      <c r="B11" s="2" t="s">
        <v>10</v>
      </c>
      <c r="C11" s="15"/>
      <c r="D11" s="15"/>
      <c r="E11" s="15"/>
      <c r="F11" s="15">
        <v>2</v>
      </c>
      <c r="G11" s="15"/>
      <c r="H11" s="15"/>
      <c r="I11" s="15"/>
      <c r="J11" s="16"/>
      <c r="K11" s="9">
        <f t="shared" si="2"/>
        <v>2</v>
      </c>
      <c r="M11" s="1"/>
    </row>
    <row r="12" spans="1:21" x14ac:dyDescent="0.25">
      <c r="B12" s="3" t="s">
        <v>11</v>
      </c>
      <c r="C12" s="15"/>
      <c r="D12" s="15"/>
      <c r="E12" s="15"/>
      <c r="F12" s="15"/>
      <c r="G12" s="15">
        <v>5</v>
      </c>
      <c r="H12" s="15"/>
      <c r="I12" s="15"/>
      <c r="J12" s="16">
        <v>7</v>
      </c>
      <c r="K12" s="9">
        <f t="shared" si="2"/>
        <v>12</v>
      </c>
    </row>
    <row r="13" spans="1:21" x14ac:dyDescent="0.25">
      <c r="B13" s="2" t="s">
        <v>12</v>
      </c>
      <c r="C13" s="15"/>
      <c r="D13" s="15"/>
      <c r="E13" s="15"/>
      <c r="F13" s="15"/>
      <c r="G13" s="15"/>
      <c r="H13" s="15"/>
      <c r="I13" s="15"/>
      <c r="J13" s="16"/>
      <c r="K13" s="9">
        <f t="shared" si="2"/>
        <v>0</v>
      </c>
    </row>
    <row r="14" spans="1:21" x14ac:dyDescent="0.25">
      <c r="B14" s="10" t="s">
        <v>8</v>
      </c>
      <c r="C14" s="14">
        <f t="shared" ref="C14:J14" si="3">SUM(C10:C13)</f>
        <v>0</v>
      </c>
      <c r="D14" s="14">
        <f t="shared" si="3"/>
        <v>1</v>
      </c>
      <c r="E14" s="14">
        <f t="shared" si="3"/>
        <v>0</v>
      </c>
      <c r="F14" s="14">
        <f t="shared" si="3"/>
        <v>3</v>
      </c>
      <c r="G14" s="14">
        <f t="shared" si="3"/>
        <v>5</v>
      </c>
      <c r="H14" s="14">
        <f t="shared" si="3"/>
        <v>4</v>
      </c>
      <c r="I14" s="14">
        <f t="shared" si="3"/>
        <v>6</v>
      </c>
      <c r="J14" s="13">
        <f t="shared" si="3"/>
        <v>7</v>
      </c>
      <c r="K14" s="13">
        <f>SUM(C14:J14)</f>
        <v>26</v>
      </c>
    </row>
    <row r="16" spans="1:2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v>19</v>
      </c>
      <c r="D17" s="15"/>
      <c r="E17" s="15">
        <v>6</v>
      </c>
      <c r="F17" s="15">
        <v>1</v>
      </c>
      <c r="G17" s="15"/>
      <c r="H17" s="15"/>
      <c r="I17" s="15">
        <v>25</v>
      </c>
      <c r="J17" s="16">
        <v>3</v>
      </c>
      <c r="K17" s="9">
        <f t="shared" ref="K17:K20" si="4">SUM(C17:J17)</f>
        <v>54</v>
      </c>
    </row>
    <row r="18" spans="2:11" x14ac:dyDescent="0.25">
      <c r="B18" s="2" t="s">
        <v>10</v>
      </c>
      <c r="C18" s="15"/>
      <c r="D18" s="15">
        <v>1</v>
      </c>
      <c r="E18" s="15"/>
      <c r="F18" s="15">
        <f>2+6</f>
        <v>8</v>
      </c>
      <c r="G18" s="15">
        <v>1</v>
      </c>
      <c r="H18" s="15"/>
      <c r="I18" s="15">
        <v>1</v>
      </c>
      <c r="J18" s="16"/>
      <c r="K18" s="9">
        <f t="shared" si="4"/>
        <v>11</v>
      </c>
    </row>
    <row r="19" spans="2:11" x14ac:dyDescent="0.25">
      <c r="B19" s="3" t="s">
        <v>11</v>
      </c>
      <c r="C19" s="15">
        <v>1</v>
      </c>
      <c r="D19" s="15"/>
      <c r="E19" s="15">
        <v>2</v>
      </c>
      <c r="F19" s="15">
        <v>1</v>
      </c>
      <c r="G19" s="15">
        <v>2</v>
      </c>
      <c r="H19" s="15">
        <v>1</v>
      </c>
      <c r="I19" s="15">
        <v>3</v>
      </c>
      <c r="J19" s="16"/>
      <c r="K19" s="9">
        <f t="shared" si="4"/>
        <v>10</v>
      </c>
    </row>
    <row r="20" spans="2:11" x14ac:dyDescent="0.25">
      <c r="B20" s="2" t="s">
        <v>12</v>
      </c>
      <c r="C20" s="15"/>
      <c r="D20" s="15"/>
      <c r="E20" s="15"/>
      <c r="F20" s="15"/>
      <c r="G20" s="15"/>
      <c r="H20" s="15"/>
      <c r="I20" s="15"/>
      <c r="J20" s="16"/>
      <c r="K20" s="9">
        <f t="shared" si="4"/>
        <v>0</v>
      </c>
    </row>
    <row r="21" spans="2:11" x14ac:dyDescent="0.25">
      <c r="B21" s="10" t="s">
        <v>8</v>
      </c>
      <c r="C21" s="14">
        <f t="shared" ref="C21:J21" si="5">SUM(C17:C20)</f>
        <v>20</v>
      </c>
      <c r="D21" s="14">
        <f t="shared" si="5"/>
        <v>1</v>
      </c>
      <c r="E21" s="14">
        <f t="shared" si="5"/>
        <v>8</v>
      </c>
      <c r="F21" s="14">
        <f t="shared" si="5"/>
        <v>10</v>
      </c>
      <c r="G21" s="14">
        <f t="shared" si="5"/>
        <v>3</v>
      </c>
      <c r="H21" s="14">
        <f t="shared" si="5"/>
        <v>1</v>
      </c>
      <c r="I21" s="14">
        <f t="shared" si="5"/>
        <v>29</v>
      </c>
      <c r="J21" s="13">
        <f t="shared" si="5"/>
        <v>3</v>
      </c>
      <c r="K21" s="13">
        <f>SUM(C21:J21)</f>
        <v>75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/>
      <c r="D24" s="15"/>
      <c r="E24" s="15"/>
      <c r="F24" s="15"/>
      <c r="G24" s="15"/>
      <c r="H24" s="15"/>
      <c r="I24" s="15"/>
      <c r="J24" s="16"/>
      <c r="K24" s="9">
        <f t="shared" ref="K24:K27" si="6">SUM(C24:J24)</f>
        <v>0</v>
      </c>
    </row>
    <row r="25" spans="2:11" x14ac:dyDescent="0.25">
      <c r="B25" s="2" t="s">
        <v>10</v>
      </c>
      <c r="C25" s="15"/>
      <c r="D25" s="15"/>
      <c r="E25" s="15"/>
      <c r="F25" s="15"/>
      <c r="G25" s="15"/>
      <c r="H25" s="15"/>
      <c r="I25" s="15"/>
      <c r="J25" s="16"/>
      <c r="K25" s="9">
        <f t="shared" si="6"/>
        <v>0</v>
      </c>
    </row>
    <row r="26" spans="2:11" x14ac:dyDescent="0.25">
      <c r="B26" s="3" t="s">
        <v>11</v>
      </c>
      <c r="C26" s="15"/>
      <c r="D26" s="15"/>
      <c r="E26" s="15"/>
      <c r="F26" s="15"/>
      <c r="G26" s="15"/>
      <c r="H26" s="15"/>
      <c r="I26" s="15"/>
      <c r="J26" s="16"/>
      <c r="K26" s="9">
        <f t="shared" si="6"/>
        <v>0</v>
      </c>
    </row>
    <row r="27" spans="2:11" x14ac:dyDescent="0.25">
      <c r="B27" s="2" t="s">
        <v>12</v>
      </c>
      <c r="C27" s="15"/>
      <c r="D27" s="15"/>
      <c r="E27" s="15"/>
      <c r="F27" s="15"/>
      <c r="G27" s="15"/>
      <c r="H27" s="15"/>
      <c r="I27" s="15"/>
      <c r="J27" s="16"/>
      <c r="K27" s="9">
        <f t="shared" si="6"/>
        <v>0</v>
      </c>
    </row>
    <row r="28" spans="2:11" x14ac:dyDescent="0.25">
      <c r="B28" s="10" t="s">
        <v>8</v>
      </c>
      <c r="C28" s="14">
        <f t="shared" ref="C28:J28" si="7">SUM(C24:C27)</f>
        <v>0</v>
      </c>
      <c r="D28" s="14">
        <f t="shared" si="7"/>
        <v>0</v>
      </c>
      <c r="E28" s="14">
        <f t="shared" si="7"/>
        <v>0</v>
      </c>
      <c r="F28" s="14">
        <f t="shared" si="7"/>
        <v>0</v>
      </c>
      <c r="G28" s="14">
        <f t="shared" si="7"/>
        <v>0</v>
      </c>
      <c r="H28" s="14">
        <f t="shared" si="7"/>
        <v>0</v>
      </c>
      <c r="I28" s="14">
        <f t="shared" si="7"/>
        <v>0</v>
      </c>
      <c r="J28" s="13">
        <f t="shared" si="7"/>
        <v>0</v>
      </c>
      <c r="K28" s="13">
        <f>SUM(C28:J28)</f>
        <v>0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-1</v>
      </c>
      <c r="D31" s="17">
        <f t="shared" ref="D31:K31" si="8">IFERROR(-(D21-D28)/D21,"")</f>
        <v>-1</v>
      </c>
      <c r="E31" s="17">
        <f t="shared" si="8"/>
        <v>-1</v>
      </c>
      <c r="F31" s="17">
        <f t="shared" si="8"/>
        <v>-1</v>
      </c>
      <c r="G31" s="17">
        <f t="shared" si="8"/>
        <v>-1</v>
      </c>
      <c r="H31" s="17">
        <f t="shared" si="8"/>
        <v>-1</v>
      </c>
      <c r="I31" s="17">
        <f t="shared" si="8"/>
        <v>-1</v>
      </c>
      <c r="J31" s="18">
        <f t="shared" si="8"/>
        <v>-1</v>
      </c>
      <c r="K31" s="18">
        <f t="shared" si="8"/>
        <v>-1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DD41-B76F-4005-B08B-68EE61CF4B9C}">
  <dimension ref="A1:U55"/>
  <sheetViews>
    <sheetView showGridLines="0" workbookViewId="0">
      <selection activeCell="J18" sqref="J18"/>
    </sheetView>
  </sheetViews>
  <sheetFormatPr defaultRowHeight="15" x14ac:dyDescent="0.25"/>
  <cols>
    <col min="2" max="21" width="12.7109375" customWidth="1"/>
  </cols>
  <sheetData>
    <row r="1" spans="1:21" x14ac:dyDescent="0.25">
      <c r="A1" t="s">
        <v>31</v>
      </c>
      <c r="K1" s="1"/>
    </row>
    <row r="2" spans="1:2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21" x14ac:dyDescent="0.25">
      <c r="B3" s="2" t="s">
        <v>9</v>
      </c>
      <c r="C3" s="15">
        <v>7</v>
      </c>
      <c r="D3" s="15"/>
      <c r="E3" s="15">
        <v>1</v>
      </c>
      <c r="F3" s="15">
        <v>1</v>
      </c>
      <c r="G3" s="15"/>
      <c r="H3" s="15">
        <v>1</v>
      </c>
      <c r="I3" s="15"/>
      <c r="J3" s="16">
        <v>1</v>
      </c>
      <c r="K3" s="9">
        <f t="shared" ref="K3:K6" si="0">SUM(C3:J3)</f>
        <v>11</v>
      </c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B4" s="2" t="s">
        <v>10</v>
      </c>
      <c r="C4" s="15"/>
      <c r="D4" s="15"/>
      <c r="E4" s="15"/>
      <c r="F4" s="15"/>
      <c r="G4" s="15">
        <v>1</v>
      </c>
      <c r="H4" s="15"/>
      <c r="I4" s="15"/>
      <c r="J4" s="16"/>
      <c r="K4" s="9">
        <f t="shared" si="0"/>
        <v>1</v>
      </c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3" t="s">
        <v>11</v>
      </c>
      <c r="C5" s="15"/>
      <c r="D5" s="15"/>
      <c r="E5" s="15"/>
      <c r="F5" s="15"/>
      <c r="G5" s="15">
        <v>3</v>
      </c>
      <c r="H5" s="15"/>
      <c r="I5" s="15"/>
      <c r="J5" s="16"/>
      <c r="K5" s="9">
        <f t="shared" si="0"/>
        <v>3</v>
      </c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" t="s">
        <v>12</v>
      </c>
      <c r="C6" s="15"/>
      <c r="D6" s="15"/>
      <c r="E6" s="15"/>
      <c r="F6" s="15"/>
      <c r="G6" s="15"/>
      <c r="H6" s="15"/>
      <c r="I6" s="15"/>
      <c r="J6" s="16"/>
      <c r="K6" s="9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B7" s="10" t="s">
        <v>8</v>
      </c>
      <c r="C7" s="14">
        <f t="shared" ref="C7:J7" si="1">SUM(C3:C6)</f>
        <v>7</v>
      </c>
      <c r="D7" s="14">
        <f t="shared" si="1"/>
        <v>0</v>
      </c>
      <c r="E7" s="14">
        <f t="shared" si="1"/>
        <v>1</v>
      </c>
      <c r="F7" s="14">
        <f t="shared" si="1"/>
        <v>1</v>
      </c>
      <c r="G7" s="14">
        <f t="shared" si="1"/>
        <v>4</v>
      </c>
      <c r="H7" s="14">
        <f t="shared" si="1"/>
        <v>1</v>
      </c>
      <c r="I7" s="14">
        <f t="shared" si="1"/>
        <v>0</v>
      </c>
      <c r="J7" s="13">
        <f t="shared" si="1"/>
        <v>1</v>
      </c>
      <c r="K7" s="13">
        <f>SUM(C7:J7)</f>
        <v>15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C8" s="1"/>
      <c r="D8" s="1"/>
      <c r="E8" s="1"/>
      <c r="F8" s="1"/>
      <c r="G8" s="1"/>
      <c r="H8" s="1"/>
      <c r="I8" s="1"/>
      <c r="J8" s="1"/>
    </row>
    <row r="9" spans="1:2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21" x14ac:dyDescent="0.25">
      <c r="B10" s="2" t="s">
        <v>9</v>
      </c>
      <c r="C10" s="15"/>
      <c r="D10" s="15"/>
      <c r="E10" s="15"/>
      <c r="F10" s="15"/>
      <c r="G10" s="15"/>
      <c r="H10" s="15">
        <v>3</v>
      </c>
      <c r="I10" s="15">
        <v>1</v>
      </c>
      <c r="J10" s="16">
        <v>3</v>
      </c>
      <c r="K10" s="9">
        <f t="shared" ref="K10:K13" si="2">SUM(C10:J10)</f>
        <v>7</v>
      </c>
    </row>
    <row r="11" spans="1:21" x14ac:dyDescent="0.25">
      <c r="B11" s="2" t="s">
        <v>10</v>
      </c>
      <c r="C11" s="15"/>
      <c r="D11" s="15"/>
      <c r="E11" s="15"/>
      <c r="F11" s="15"/>
      <c r="G11" s="15"/>
      <c r="H11" s="15"/>
      <c r="I11" s="15"/>
      <c r="J11" s="16"/>
      <c r="K11" s="9">
        <f t="shared" si="2"/>
        <v>0</v>
      </c>
      <c r="M11" s="1"/>
    </row>
    <row r="12" spans="1:21" x14ac:dyDescent="0.25">
      <c r="B12" s="3" t="s">
        <v>11</v>
      </c>
      <c r="C12" s="15"/>
      <c r="D12" s="15"/>
      <c r="E12" s="15"/>
      <c r="F12" s="15"/>
      <c r="G12" s="15"/>
      <c r="H12" s="15"/>
      <c r="I12" s="15"/>
      <c r="J12" s="16"/>
      <c r="K12" s="9">
        <f t="shared" si="2"/>
        <v>0</v>
      </c>
    </row>
    <row r="13" spans="1:21" x14ac:dyDescent="0.25">
      <c r="B13" s="2" t="s">
        <v>12</v>
      </c>
      <c r="C13" s="15"/>
      <c r="D13" s="15"/>
      <c r="E13" s="15"/>
      <c r="F13" s="15"/>
      <c r="G13" s="15"/>
      <c r="H13" s="15"/>
      <c r="I13" s="15"/>
      <c r="J13" s="16"/>
      <c r="K13" s="9">
        <f t="shared" si="2"/>
        <v>0</v>
      </c>
    </row>
    <row r="14" spans="1:21" x14ac:dyDescent="0.25">
      <c r="B14" s="10" t="s">
        <v>8</v>
      </c>
      <c r="C14" s="14">
        <f t="shared" ref="C14:J14" si="3">SUM(C10:C13)</f>
        <v>0</v>
      </c>
      <c r="D14" s="14">
        <f t="shared" si="3"/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4">
        <f t="shared" si="3"/>
        <v>3</v>
      </c>
      <c r="I14" s="14">
        <f t="shared" si="3"/>
        <v>1</v>
      </c>
      <c r="J14" s="13">
        <f t="shared" si="3"/>
        <v>3</v>
      </c>
      <c r="K14" s="13">
        <f>SUM(C14:J14)</f>
        <v>7</v>
      </c>
    </row>
    <row r="16" spans="1:2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v>10</v>
      </c>
      <c r="D17" s="15">
        <v>1</v>
      </c>
      <c r="E17" s="15">
        <v>3</v>
      </c>
      <c r="F17" s="15">
        <v>1</v>
      </c>
      <c r="G17" s="15">
        <v>1</v>
      </c>
      <c r="H17" s="15"/>
      <c r="I17" s="15">
        <v>13</v>
      </c>
      <c r="J17" s="16"/>
      <c r="K17" s="9">
        <f t="shared" ref="K17:K20" si="4">SUM(C17:J17)</f>
        <v>29</v>
      </c>
    </row>
    <row r="18" spans="2:11" x14ac:dyDescent="0.25">
      <c r="B18" s="2" t="s">
        <v>10</v>
      </c>
      <c r="C18" s="15">
        <v>1</v>
      </c>
      <c r="D18" s="15"/>
      <c r="E18" s="15"/>
      <c r="F18" s="15"/>
      <c r="G18" s="15">
        <v>3</v>
      </c>
      <c r="H18" s="15"/>
      <c r="I18" s="15"/>
      <c r="J18" s="16"/>
      <c r="K18" s="9">
        <f t="shared" si="4"/>
        <v>4</v>
      </c>
    </row>
    <row r="19" spans="2:11" x14ac:dyDescent="0.25">
      <c r="B19" s="3" t="s">
        <v>11</v>
      </c>
      <c r="C19" s="15"/>
      <c r="D19" s="15"/>
      <c r="E19" s="15"/>
      <c r="F19" s="15"/>
      <c r="G19" s="15"/>
      <c r="H19" s="15"/>
      <c r="I19" s="15"/>
      <c r="J19" s="16"/>
      <c r="K19" s="9">
        <f t="shared" si="4"/>
        <v>0</v>
      </c>
    </row>
    <row r="20" spans="2:11" x14ac:dyDescent="0.25">
      <c r="B20" s="2" t="s">
        <v>12</v>
      </c>
      <c r="C20" s="15"/>
      <c r="D20" s="15"/>
      <c r="E20" s="15"/>
      <c r="F20" s="15"/>
      <c r="G20" s="15"/>
      <c r="H20" s="15"/>
      <c r="I20" s="15"/>
      <c r="J20" s="16"/>
      <c r="K20" s="9">
        <f t="shared" si="4"/>
        <v>0</v>
      </c>
    </row>
    <row r="21" spans="2:11" x14ac:dyDescent="0.25">
      <c r="B21" s="10" t="s">
        <v>8</v>
      </c>
      <c r="C21" s="14">
        <f t="shared" ref="C21:J21" si="5">SUM(C17:C20)</f>
        <v>11</v>
      </c>
      <c r="D21" s="14">
        <f t="shared" si="5"/>
        <v>1</v>
      </c>
      <c r="E21" s="14">
        <f t="shared" si="5"/>
        <v>3</v>
      </c>
      <c r="F21" s="14">
        <f t="shared" si="5"/>
        <v>1</v>
      </c>
      <c r="G21" s="14">
        <f t="shared" si="5"/>
        <v>4</v>
      </c>
      <c r="H21" s="14">
        <f t="shared" si="5"/>
        <v>0</v>
      </c>
      <c r="I21" s="14">
        <f t="shared" si="5"/>
        <v>13</v>
      </c>
      <c r="J21" s="13">
        <f t="shared" si="5"/>
        <v>0</v>
      </c>
      <c r="K21" s="13">
        <f>SUM(C21:J21)</f>
        <v>33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/>
      <c r="D24" s="15"/>
      <c r="E24" s="15"/>
      <c r="F24" s="15"/>
      <c r="G24" s="15"/>
      <c r="H24" s="15"/>
      <c r="I24" s="15"/>
      <c r="J24" s="16"/>
      <c r="K24" s="9">
        <f t="shared" ref="K24:K27" si="6">SUM(C24:J24)</f>
        <v>0</v>
      </c>
    </row>
    <row r="25" spans="2:11" x14ac:dyDescent="0.25">
      <c r="B25" s="2" t="s">
        <v>10</v>
      </c>
      <c r="C25" s="15"/>
      <c r="D25" s="15"/>
      <c r="E25" s="15"/>
      <c r="F25" s="15"/>
      <c r="G25" s="15"/>
      <c r="H25" s="15"/>
      <c r="I25" s="15"/>
      <c r="J25" s="16"/>
      <c r="K25" s="9">
        <f t="shared" si="6"/>
        <v>0</v>
      </c>
    </row>
    <row r="26" spans="2:11" x14ac:dyDescent="0.25">
      <c r="B26" s="3" t="s">
        <v>11</v>
      </c>
      <c r="C26" s="15"/>
      <c r="D26" s="15"/>
      <c r="E26" s="15"/>
      <c r="F26" s="15"/>
      <c r="G26" s="15"/>
      <c r="H26" s="15"/>
      <c r="I26" s="15"/>
      <c r="J26" s="16"/>
      <c r="K26" s="9">
        <f t="shared" si="6"/>
        <v>0</v>
      </c>
    </row>
    <row r="27" spans="2:11" x14ac:dyDescent="0.25">
      <c r="B27" s="2" t="s">
        <v>12</v>
      </c>
      <c r="C27" s="15"/>
      <c r="D27" s="15"/>
      <c r="E27" s="15"/>
      <c r="F27" s="15"/>
      <c r="G27" s="15"/>
      <c r="H27" s="15"/>
      <c r="I27" s="15"/>
      <c r="J27" s="16"/>
      <c r="K27" s="9">
        <f t="shared" si="6"/>
        <v>0</v>
      </c>
    </row>
    <row r="28" spans="2:11" x14ac:dyDescent="0.25">
      <c r="B28" s="10" t="s">
        <v>8</v>
      </c>
      <c r="C28" s="14">
        <f t="shared" ref="C28:J28" si="7">SUM(C24:C27)</f>
        <v>0</v>
      </c>
      <c r="D28" s="14">
        <f t="shared" si="7"/>
        <v>0</v>
      </c>
      <c r="E28" s="14">
        <f t="shared" si="7"/>
        <v>0</v>
      </c>
      <c r="F28" s="14">
        <f t="shared" si="7"/>
        <v>0</v>
      </c>
      <c r="G28" s="14">
        <f t="shared" si="7"/>
        <v>0</v>
      </c>
      <c r="H28" s="14">
        <f t="shared" si="7"/>
        <v>0</v>
      </c>
      <c r="I28" s="14">
        <f t="shared" si="7"/>
        <v>0</v>
      </c>
      <c r="J28" s="13">
        <f t="shared" si="7"/>
        <v>0</v>
      </c>
      <c r="K28" s="13">
        <f>SUM(C28:J28)</f>
        <v>0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-1</v>
      </c>
      <c r="D31" s="17">
        <f t="shared" ref="D31:K31" si="8">IFERROR(-(D21-D28)/D21,"")</f>
        <v>-1</v>
      </c>
      <c r="E31" s="17">
        <f t="shared" si="8"/>
        <v>-1</v>
      </c>
      <c r="F31" s="17">
        <f t="shared" si="8"/>
        <v>-1</v>
      </c>
      <c r="G31" s="17">
        <f t="shared" si="8"/>
        <v>-1</v>
      </c>
      <c r="H31" s="17" t="str">
        <f t="shared" si="8"/>
        <v/>
      </c>
      <c r="I31" s="17">
        <f t="shared" si="8"/>
        <v>-1</v>
      </c>
      <c r="J31" s="18" t="str">
        <f t="shared" si="8"/>
        <v/>
      </c>
      <c r="K31" s="18">
        <f t="shared" si="8"/>
        <v>-1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7716-F075-404B-A36A-F354F5D61362}">
  <dimension ref="B2:AZ130"/>
  <sheetViews>
    <sheetView showGridLines="0" workbookViewId="0">
      <pane ySplit="2" topLeftCell="A3" activePane="bottomLeft" state="frozen"/>
      <selection pane="bottomLeft" activeCell="B41" sqref="B41"/>
    </sheetView>
  </sheetViews>
  <sheetFormatPr defaultColWidth="9.140625" defaultRowHeight="15" x14ac:dyDescent="0.25"/>
  <cols>
    <col min="1" max="1" width="9.140625" style="8"/>
    <col min="2" max="4" width="20.7109375" style="8" customWidth="1"/>
    <col min="5" max="9" width="12.7109375" style="15" customWidth="1"/>
    <col min="10" max="10" width="9.140625" style="8"/>
    <col min="11" max="11" width="14.7109375" style="8" bestFit="1" customWidth="1"/>
    <col min="12" max="12" width="9.85546875" style="8" bestFit="1" customWidth="1"/>
    <col min="13" max="13" width="9.5703125" style="8" bestFit="1" customWidth="1"/>
    <col min="14" max="14" width="19.7109375" style="8" bestFit="1" customWidth="1"/>
    <col min="15" max="15" width="17" style="8" bestFit="1" customWidth="1"/>
    <col min="16" max="16" width="21" style="8" bestFit="1" customWidth="1"/>
    <col min="17" max="17" width="18.140625" style="8" bestFit="1" customWidth="1"/>
    <col min="18" max="18" width="11.85546875" style="8" bestFit="1" customWidth="1"/>
    <col min="19" max="52" width="21" style="8" bestFit="1" customWidth="1"/>
    <col min="53" max="16384" width="9.140625" style="8"/>
  </cols>
  <sheetData>
    <row r="2" spans="2:52" s="23" customFormat="1" ht="30" customHeight="1" x14ac:dyDescent="0.25">
      <c r="B2" s="22" t="s">
        <v>32</v>
      </c>
      <c r="C2" s="22" t="s">
        <v>33</v>
      </c>
      <c r="D2" s="22" t="s">
        <v>34</v>
      </c>
      <c r="E2" s="26" t="s">
        <v>35</v>
      </c>
      <c r="F2" s="26" t="s">
        <v>36</v>
      </c>
      <c r="G2" s="26" t="s">
        <v>37</v>
      </c>
      <c r="H2" s="26" t="s">
        <v>38</v>
      </c>
      <c r="I2" s="26" t="s">
        <v>39</v>
      </c>
      <c r="K2" s="24" t="s">
        <v>32</v>
      </c>
      <c r="L2" s="24" t="s">
        <v>34</v>
      </c>
      <c r="M2" s="21" t="s">
        <v>33</v>
      </c>
      <c r="N2" s="25" t="s">
        <v>40</v>
      </c>
      <c r="O2" s="25" t="s">
        <v>41</v>
      </c>
      <c r="P2" s="25" t="s">
        <v>42</v>
      </c>
      <c r="Q2" s="25" t="s">
        <v>43</v>
      </c>
      <c r="R2" s="25" t="s">
        <v>44</v>
      </c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2:52" x14ac:dyDescent="0.25">
      <c r="B3" s="8" t="s">
        <v>0</v>
      </c>
      <c r="C3" s="8" t="s">
        <v>45</v>
      </c>
      <c r="D3" s="8">
        <v>2022</v>
      </c>
      <c r="E3" s="15">
        <v>15</v>
      </c>
      <c r="G3" s="15">
        <v>1</v>
      </c>
      <c r="I3" s="15">
        <f>SUM(E3:H3)</f>
        <v>16</v>
      </c>
      <c r="J3" s="15"/>
      <c r="K3" t="s">
        <v>5</v>
      </c>
      <c r="L3">
        <v>2022</v>
      </c>
      <c r="M3" t="s">
        <v>45</v>
      </c>
      <c r="N3" s="1"/>
      <c r="O3" s="1"/>
      <c r="P3" s="1"/>
      <c r="Q3" s="1"/>
      <c r="R3" s="1">
        <v>0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2:52" x14ac:dyDescent="0.25">
      <c r="B4" s="8" t="s">
        <v>1</v>
      </c>
      <c r="C4" s="8" t="s">
        <v>45</v>
      </c>
      <c r="D4" s="8">
        <v>2022</v>
      </c>
      <c r="E4" s="15">
        <v>1</v>
      </c>
      <c r="I4" s="15">
        <f t="shared" ref="I4:I67" si="0">SUM(E4:H4)</f>
        <v>1</v>
      </c>
      <c r="J4" s="15"/>
      <c r="K4"/>
      <c r="L4"/>
      <c r="M4" t="s">
        <v>46</v>
      </c>
      <c r="N4" s="1">
        <v>1</v>
      </c>
      <c r="O4" s="1"/>
      <c r="P4" s="1"/>
      <c r="Q4" s="1"/>
      <c r="R4" s="1">
        <v>1</v>
      </c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2:52" x14ac:dyDescent="0.25">
      <c r="B5" s="8" t="s">
        <v>2</v>
      </c>
      <c r="C5" s="8" t="s">
        <v>45</v>
      </c>
      <c r="D5" s="8">
        <v>2022</v>
      </c>
      <c r="I5" s="15">
        <f t="shared" si="0"/>
        <v>0</v>
      </c>
      <c r="J5" s="15"/>
      <c r="K5"/>
      <c r="L5"/>
      <c r="M5" t="s">
        <v>47</v>
      </c>
      <c r="N5" s="1"/>
      <c r="O5" s="1">
        <v>1</v>
      </c>
      <c r="P5" s="1"/>
      <c r="Q5" s="1"/>
      <c r="R5" s="1">
        <v>1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2:52" x14ac:dyDescent="0.25">
      <c r="B6" s="8" t="s">
        <v>3</v>
      </c>
      <c r="C6" s="8" t="s">
        <v>45</v>
      </c>
      <c r="D6" s="8">
        <v>2022</v>
      </c>
      <c r="G6" s="15">
        <v>1</v>
      </c>
      <c r="I6" s="15">
        <f t="shared" si="0"/>
        <v>1</v>
      </c>
      <c r="J6" s="15"/>
      <c r="K6"/>
      <c r="L6"/>
      <c r="M6" t="s">
        <v>48</v>
      </c>
      <c r="N6" s="1">
        <v>3</v>
      </c>
      <c r="O6" s="1">
        <v>5</v>
      </c>
      <c r="P6" s="1">
        <v>4</v>
      </c>
      <c r="Q6" s="1"/>
      <c r="R6" s="1">
        <v>12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2:52" x14ac:dyDescent="0.25">
      <c r="B7" s="8" t="s">
        <v>4</v>
      </c>
      <c r="C7" s="8" t="s">
        <v>45</v>
      </c>
      <c r="D7" s="8">
        <v>2022</v>
      </c>
      <c r="F7" s="15">
        <v>5</v>
      </c>
      <c r="G7" s="15">
        <v>2</v>
      </c>
      <c r="I7" s="15">
        <f t="shared" si="0"/>
        <v>7</v>
      </c>
      <c r="J7" s="15"/>
      <c r="K7"/>
      <c r="L7"/>
      <c r="M7" t="s">
        <v>49</v>
      </c>
      <c r="N7" s="1">
        <v>12</v>
      </c>
      <c r="O7" s="1">
        <v>9</v>
      </c>
      <c r="P7" s="1">
        <v>5</v>
      </c>
      <c r="Q7" s="1"/>
      <c r="R7" s="1">
        <v>26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2:52" x14ac:dyDescent="0.25">
      <c r="B8" s="8" t="s">
        <v>5</v>
      </c>
      <c r="C8" s="8" t="s">
        <v>45</v>
      </c>
      <c r="D8" s="8">
        <v>2022</v>
      </c>
      <c r="I8" s="15">
        <f t="shared" si="0"/>
        <v>0</v>
      </c>
      <c r="J8" s="15"/>
      <c r="K8"/>
      <c r="L8"/>
      <c r="M8" t="s">
        <v>50</v>
      </c>
      <c r="N8" s="1">
        <v>22</v>
      </c>
      <c r="O8" s="1">
        <v>11</v>
      </c>
      <c r="P8" s="1">
        <v>39</v>
      </c>
      <c r="Q8" s="1"/>
      <c r="R8" s="1">
        <v>72</v>
      </c>
      <c r="S8"/>
      <c r="T8"/>
      <c r="U8"/>
      <c r="V8"/>
      <c r="W8"/>
      <c r="X8"/>
      <c r="Y8"/>
      <c r="Z8"/>
      <c r="AA8"/>
      <c r="AB8"/>
      <c r="AC8"/>
      <c r="AD8"/>
    </row>
    <row r="9" spans="2:52" x14ac:dyDescent="0.25">
      <c r="B9" s="8" t="s">
        <v>6</v>
      </c>
      <c r="C9" s="8" t="s">
        <v>45</v>
      </c>
      <c r="D9" s="8">
        <v>2022</v>
      </c>
      <c r="E9" s="15">
        <v>6</v>
      </c>
      <c r="I9" s="15">
        <f t="shared" si="0"/>
        <v>6</v>
      </c>
      <c r="J9" s="15"/>
      <c r="K9"/>
      <c r="L9"/>
      <c r="M9" t="s">
        <v>51</v>
      </c>
      <c r="N9" s="1">
        <v>6</v>
      </c>
      <c r="O9" s="1">
        <v>53</v>
      </c>
      <c r="P9" s="1">
        <v>109</v>
      </c>
      <c r="Q9" s="1">
        <v>4</v>
      </c>
      <c r="R9" s="1">
        <v>172</v>
      </c>
      <c r="S9"/>
      <c r="T9"/>
      <c r="U9"/>
    </row>
    <row r="10" spans="2:52" x14ac:dyDescent="0.25">
      <c r="B10" s="8" t="s">
        <v>7</v>
      </c>
      <c r="C10" s="8" t="s">
        <v>45</v>
      </c>
      <c r="D10" s="8">
        <v>2022</v>
      </c>
      <c r="G10" s="15">
        <v>1</v>
      </c>
      <c r="I10" s="15">
        <f t="shared" si="0"/>
        <v>1</v>
      </c>
      <c r="J10" s="15"/>
      <c r="K10"/>
      <c r="L10"/>
      <c r="M10" t="s">
        <v>52</v>
      </c>
      <c r="N10" s="1">
        <v>17</v>
      </c>
      <c r="O10" s="1">
        <v>20</v>
      </c>
      <c r="P10" s="1">
        <v>23</v>
      </c>
      <c r="Q10" s="1"/>
      <c r="R10" s="1">
        <v>60</v>
      </c>
      <c r="S10"/>
      <c r="T10"/>
      <c r="U10"/>
    </row>
    <row r="11" spans="2:52" x14ac:dyDescent="0.25">
      <c r="B11" s="8" t="s">
        <v>0</v>
      </c>
      <c r="C11" s="8" t="s">
        <v>46</v>
      </c>
      <c r="D11" s="8">
        <v>2022</v>
      </c>
      <c r="E11" s="15">
        <v>18</v>
      </c>
      <c r="F11" s="15">
        <v>1</v>
      </c>
      <c r="I11" s="15">
        <f t="shared" si="0"/>
        <v>19</v>
      </c>
      <c r="J11" s="15"/>
      <c r="K11"/>
      <c r="L11" t="s">
        <v>53</v>
      </c>
      <c r="M11"/>
      <c r="N11" s="1">
        <v>61</v>
      </c>
      <c r="O11" s="1">
        <v>99</v>
      </c>
      <c r="P11" s="1">
        <v>180</v>
      </c>
      <c r="Q11" s="1">
        <v>4</v>
      </c>
      <c r="R11" s="1">
        <v>344</v>
      </c>
      <c r="S11"/>
      <c r="T11"/>
      <c r="U11"/>
    </row>
    <row r="12" spans="2:52" x14ac:dyDescent="0.25">
      <c r="B12" s="8" t="s">
        <v>1</v>
      </c>
      <c r="C12" s="8" t="s">
        <v>46</v>
      </c>
      <c r="D12" s="8">
        <v>2022</v>
      </c>
      <c r="E12" s="15">
        <v>2</v>
      </c>
      <c r="I12" s="15">
        <f t="shared" si="0"/>
        <v>2</v>
      </c>
      <c r="J12" s="15"/>
      <c r="K12"/>
      <c r="L12">
        <v>2023</v>
      </c>
      <c r="M12" t="s">
        <v>45</v>
      </c>
      <c r="N12" s="1">
        <v>2</v>
      </c>
      <c r="O12" s="1"/>
      <c r="P12" s="1"/>
      <c r="Q12" s="1"/>
      <c r="R12" s="1">
        <v>2</v>
      </c>
      <c r="S12"/>
      <c r="T12"/>
      <c r="U12"/>
    </row>
    <row r="13" spans="2:52" x14ac:dyDescent="0.25">
      <c r="B13" s="8" t="s">
        <v>2</v>
      </c>
      <c r="C13" s="8" t="s">
        <v>46</v>
      </c>
      <c r="D13" s="8">
        <v>2022</v>
      </c>
      <c r="I13" s="15">
        <f t="shared" si="0"/>
        <v>0</v>
      </c>
      <c r="J13" s="15"/>
      <c r="K13"/>
      <c r="L13"/>
      <c r="M13" t="s">
        <v>46</v>
      </c>
      <c r="N13" s="1">
        <v>3</v>
      </c>
      <c r="O13" s="1"/>
      <c r="P13" s="1"/>
      <c r="Q13" s="1"/>
      <c r="R13" s="1">
        <v>3</v>
      </c>
      <c r="S13"/>
      <c r="T13"/>
      <c r="U13"/>
    </row>
    <row r="14" spans="2:52" x14ac:dyDescent="0.25">
      <c r="B14" s="8" t="s">
        <v>3</v>
      </c>
      <c r="C14" s="8" t="s">
        <v>46</v>
      </c>
      <c r="D14" s="8">
        <v>2022</v>
      </c>
      <c r="E14" s="15">
        <v>1</v>
      </c>
      <c r="F14" s="15">
        <v>30</v>
      </c>
      <c r="G14" s="15">
        <v>1</v>
      </c>
      <c r="I14" s="15">
        <f t="shared" si="0"/>
        <v>32</v>
      </c>
      <c r="J14" s="15"/>
      <c r="K14"/>
      <c r="L14"/>
      <c r="M14" t="s">
        <v>47</v>
      </c>
      <c r="N14" s="1">
        <v>3</v>
      </c>
      <c r="O14" s="1"/>
      <c r="P14" s="1"/>
      <c r="Q14" s="1"/>
      <c r="R14" s="1">
        <v>3</v>
      </c>
      <c r="S14"/>
      <c r="T14"/>
      <c r="U14"/>
    </row>
    <row r="15" spans="2:52" x14ac:dyDescent="0.25">
      <c r="B15" s="8" t="s">
        <v>4</v>
      </c>
      <c r="C15" s="8" t="s">
        <v>46</v>
      </c>
      <c r="D15" s="8">
        <v>2022</v>
      </c>
      <c r="F15" s="15">
        <v>8</v>
      </c>
      <c r="G15" s="15">
        <v>4</v>
      </c>
      <c r="I15" s="15">
        <f t="shared" si="0"/>
        <v>12</v>
      </c>
      <c r="J15" s="15"/>
      <c r="K15"/>
      <c r="L15"/>
      <c r="M15" t="s">
        <v>48</v>
      </c>
      <c r="N15" s="1">
        <v>5</v>
      </c>
      <c r="O15" s="1">
        <v>7</v>
      </c>
      <c r="P15" s="1">
        <v>3</v>
      </c>
      <c r="Q15" s="1"/>
      <c r="R15" s="1">
        <v>15</v>
      </c>
      <c r="S15"/>
      <c r="T15"/>
      <c r="U15"/>
    </row>
    <row r="16" spans="2:52" x14ac:dyDescent="0.25">
      <c r="B16" s="8" t="s">
        <v>5</v>
      </c>
      <c r="C16" s="8" t="s">
        <v>46</v>
      </c>
      <c r="D16" s="8">
        <v>2022</v>
      </c>
      <c r="E16" s="15">
        <v>1</v>
      </c>
      <c r="I16" s="15">
        <f t="shared" si="0"/>
        <v>1</v>
      </c>
      <c r="J16" s="15"/>
      <c r="K16"/>
      <c r="L16"/>
      <c r="M16" t="s">
        <v>49</v>
      </c>
      <c r="N16" s="1">
        <v>10</v>
      </c>
      <c r="O16" s="1">
        <v>15</v>
      </c>
      <c r="P16" s="1">
        <v>8</v>
      </c>
      <c r="Q16" s="1"/>
      <c r="R16" s="1">
        <v>33</v>
      </c>
      <c r="S16"/>
      <c r="T16"/>
      <c r="U16"/>
    </row>
    <row r="17" spans="2:21" x14ac:dyDescent="0.25">
      <c r="B17" s="8" t="s">
        <v>6</v>
      </c>
      <c r="C17" s="8" t="s">
        <v>46</v>
      </c>
      <c r="D17" s="8">
        <v>2022</v>
      </c>
      <c r="I17" s="15">
        <f t="shared" si="0"/>
        <v>0</v>
      </c>
      <c r="J17" s="15"/>
      <c r="K17"/>
      <c r="L17"/>
      <c r="M17" t="s">
        <v>50</v>
      </c>
      <c r="N17" s="1">
        <v>6</v>
      </c>
      <c r="O17" s="1">
        <v>7</v>
      </c>
      <c r="P17" s="1">
        <v>53</v>
      </c>
      <c r="Q17" s="1"/>
      <c r="R17" s="1">
        <v>66</v>
      </c>
      <c r="S17"/>
      <c r="T17"/>
      <c r="U17"/>
    </row>
    <row r="18" spans="2:21" x14ac:dyDescent="0.25">
      <c r="B18" s="8" t="s">
        <v>7</v>
      </c>
      <c r="C18" s="8" t="s">
        <v>46</v>
      </c>
      <c r="D18" s="8">
        <v>2022</v>
      </c>
      <c r="I18" s="15">
        <f t="shared" si="0"/>
        <v>0</v>
      </c>
      <c r="J18" s="15"/>
      <c r="K18"/>
      <c r="L18"/>
      <c r="M18" t="s">
        <v>51</v>
      </c>
      <c r="N18" s="1">
        <v>28</v>
      </c>
      <c r="O18" s="1">
        <v>53</v>
      </c>
      <c r="P18" s="1">
        <v>81</v>
      </c>
      <c r="Q18" s="1">
        <v>3</v>
      </c>
      <c r="R18" s="1">
        <v>165</v>
      </c>
      <c r="S18"/>
      <c r="T18"/>
      <c r="U18"/>
    </row>
    <row r="19" spans="2:21" x14ac:dyDescent="0.25">
      <c r="B19" s="8" t="s">
        <v>0</v>
      </c>
      <c r="C19" s="8" t="s">
        <v>47</v>
      </c>
      <c r="D19" s="8">
        <v>2022</v>
      </c>
      <c r="E19" s="15">
        <v>33</v>
      </c>
      <c r="G19" s="15">
        <v>10</v>
      </c>
      <c r="I19" s="15">
        <f t="shared" si="0"/>
        <v>43</v>
      </c>
      <c r="J19" s="15"/>
      <c r="K19"/>
      <c r="L19"/>
      <c r="M19" t="s">
        <v>52</v>
      </c>
      <c r="N19" s="1">
        <v>22</v>
      </c>
      <c r="O19" s="1">
        <v>26</v>
      </c>
      <c r="P19" s="1">
        <v>51</v>
      </c>
      <c r="Q19" s="1">
        <v>1</v>
      </c>
      <c r="R19" s="1">
        <v>100</v>
      </c>
      <c r="S19"/>
      <c r="T19"/>
      <c r="U19"/>
    </row>
    <row r="20" spans="2:21" x14ac:dyDescent="0.25">
      <c r="B20" s="8" t="s">
        <v>1</v>
      </c>
      <c r="C20" s="8" t="s">
        <v>47</v>
      </c>
      <c r="D20" s="8">
        <v>2022</v>
      </c>
      <c r="E20" s="15">
        <v>1</v>
      </c>
      <c r="G20" s="15">
        <v>2</v>
      </c>
      <c r="I20" s="15">
        <f t="shared" si="0"/>
        <v>3</v>
      </c>
      <c r="J20" s="15"/>
      <c r="K20"/>
      <c r="L20" t="s">
        <v>54</v>
      </c>
      <c r="M20"/>
      <c r="N20" s="1">
        <v>79</v>
      </c>
      <c r="O20" s="1">
        <v>108</v>
      </c>
      <c r="P20" s="1">
        <v>196</v>
      </c>
      <c r="Q20" s="1">
        <v>4</v>
      </c>
      <c r="R20" s="1">
        <v>387</v>
      </c>
      <c r="S20"/>
      <c r="T20"/>
      <c r="U20"/>
    </row>
    <row r="21" spans="2:21" x14ac:dyDescent="0.25">
      <c r="B21" s="8" t="s">
        <v>2</v>
      </c>
      <c r="C21" s="8" t="s">
        <v>47</v>
      </c>
      <c r="D21" s="8">
        <v>2022</v>
      </c>
      <c r="I21" s="15">
        <f t="shared" si="0"/>
        <v>0</v>
      </c>
      <c r="J21" s="15"/>
      <c r="K21" t="s">
        <v>55</v>
      </c>
      <c r="L21"/>
      <c r="M21"/>
      <c r="N21" s="1">
        <v>140</v>
      </c>
      <c r="O21" s="1">
        <v>207</v>
      </c>
      <c r="P21" s="1">
        <v>376</v>
      </c>
      <c r="Q21" s="1">
        <v>8</v>
      </c>
      <c r="R21" s="1">
        <v>731</v>
      </c>
      <c r="S21"/>
      <c r="T21"/>
      <c r="U21"/>
    </row>
    <row r="22" spans="2:21" x14ac:dyDescent="0.25">
      <c r="B22" s="8" t="s">
        <v>3</v>
      </c>
      <c r="C22" s="8" t="s">
        <v>47</v>
      </c>
      <c r="D22" s="8">
        <v>2022</v>
      </c>
      <c r="E22" s="15">
        <v>8</v>
      </c>
      <c r="F22" s="15">
        <v>3</v>
      </c>
      <c r="G22" s="15">
        <v>1</v>
      </c>
      <c r="I22" s="15">
        <f t="shared" si="0"/>
        <v>12</v>
      </c>
      <c r="J22" s="15"/>
      <c r="K22"/>
      <c r="L22"/>
      <c r="M22"/>
      <c r="N22"/>
      <c r="O22"/>
      <c r="P22"/>
      <c r="Q22"/>
      <c r="R22"/>
      <c r="S22"/>
      <c r="T22"/>
      <c r="U22"/>
    </row>
    <row r="23" spans="2:21" x14ac:dyDescent="0.25">
      <c r="B23" s="8" t="s">
        <v>4</v>
      </c>
      <c r="C23" s="8" t="s">
        <v>47</v>
      </c>
      <c r="D23" s="8">
        <v>2022</v>
      </c>
      <c r="F23" s="15">
        <v>57</v>
      </c>
      <c r="G23" s="15">
        <v>7</v>
      </c>
      <c r="H23" s="15">
        <v>1</v>
      </c>
      <c r="I23" s="15">
        <f t="shared" si="0"/>
        <v>65</v>
      </c>
      <c r="J23" s="15"/>
      <c r="K23" t="str">
        <f>"Månedsvis udvikling for "&amp;K3&amp;" Havn"</f>
        <v>Månedsvis udvikling for Masnedsund Havn</v>
      </c>
      <c r="L23"/>
      <c r="M23"/>
      <c r="N23"/>
      <c r="O23"/>
      <c r="P23"/>
      <c r="Q23"/>
      <c r="R23"/>
      <c r="S23"/>
      <c r="T23"/>
      <c r="U23"/>
    </row>
    <row r="24" spans="2:21" x14ac:dyDescent="0.25">
      <c r="B24" s="8" t="s">
        <v>5</v>
      </c>
      <c r="C24" s="8" t="s">
        <v>47</v>
      </c>
      <c r="D24" s="8">
        <v>2022</v>
      </c>
      <c r="F24" s="15">
        <v>1</v>
      </c>
      <c r="I24" s="15">
        <f t="shared" si="0"/>
        <v>1</v>
      </c>
      <c r="J24" s="15"/>
      <c r="K24"/>
      <c r="L24"/>
      <c r="M24"/>
      <c r="N24"/>
      <c r="O24"/>
      <c r="P24"/>
      <c r="Q24"/>
      <c r="R24"/>
      <c r="S24"/>
      <c r="T24"/>
      <c r="U24"/>
    </row>
    <row r="25" spans="2:21" x14ac:dyDescent="0.25">
      <c r="B25" s="8" t="s">
        <v>6</v>
      </c>
      <c r="C25" s="8" t="s">
        <v>47</v>
      </c>
      <c r="D25" s="8">
        <v>2022</v>
      </c>
      <c r="E25" s="15">
        <v>10</v>
      </c>
      <c r="F25" s="15">
        <v>2</v>
      </c>
      <c r="G25" s="15">
        <v>1</v>
      </c>
      <c r="I25" s="15">
        <f t="shared" si="0"/>
        <v>13</v>
      </c>
      <c r="J25" s="15"/>
      <c r="K25"/>
      <c r="L25"/>
      <c r="M25"/>
      <c r="N25"/>
      <c r="O25"/>
      <c r="P25"/>
      <c r="Q25"/>
      <c r="R25"/>
      <c r="S25"/>
      <c r="T25"/>
      <c r="U25"/>
    </row>
    <row r="26" spans="2:21" x14ac:dyDescent="0.25">
      <c r="B26" s="8" t="s">
        <v>7</v>
      </c>
      <c r="C26" s="8" t="s">
        <v>47</v>
      </c>
      <c r="D26" s="8">
        <v>2022</v>
      </c>
      <c r="I26" s="15">
        <f t="shared" si="0"/>
        <v>0</v>
      </c>
      <c r="J26" s="15"/>
      <c r="K26"/>
      <c r="L26"/>
      <c r="M26"/>
      <c r="N26"/>
      <c r="O26"/>
      <c r="P26"/>
      <c r="Q26"/>
      <c r="R26"/>
      <c r="S26"/>
      <c r="T26"/>
      <c r="U26"/>
    </row>
    <row r="27" spans="2:21" x14ac:dyDescent="0.25">
      <c r="B27" s="8" t="s">
        <v>0</v>
      </c>
      <c r="C27" s="8" t="s">
        <v>48</v>
      </c>
      <c r="D27" s="8">
        <v>2022</v>
      </c>
      <c r="E27" s="15">
        <v>50</v>
      </c>
      <c r="F27" s="15">
        <v>4</v>
      </c>
      <c r="G27" s="15">
        <v>9</v>
      </c>
      <c r="I27" s="15">
        <f t="shared" si="0"/>
        <v>63</v>
      </c>
      <c r="J27" s="15"/>
      <c r="K27"/>
      <c r="L27"/>
      <c r="M27"/>
      <c r="N27"/>
      <c r="O27"/>
      <c r="P27"/>
      <c r="Q27"/>
      <c r="R27"/>
      <c r="S27"/>
      <c r="T27"/>
      <c r="U27"/>
    </row>
    <row r="28" spans="2:21" x14ac:dyDescent="0.25">
      <c r="B28" s="8" t="s">
        <v>1</v>
      </c>
      <c r="C28" s="8" t="s">
        <v>48</v>
      </c>
      <c r="D28" s="8">
        <v>2022</v>
      </c>
      <c r="E28" s="15">
        <v>17</v>
      </c>
      <c r="G28" s="15">
        <v>3</v>
      </c>
      <c r="I28" s="15">
        <f t="shared" si="0"/>
        <v>20</v>
      </c>
      <c r="J28" s="15"/>
      <c r="K28"/>
      <c r="L28"/>
      <c r="M28"/>
      <c r="N28"/>
      <c r="O28"/>
      <c r="P28"/>
      <c r="Q28"/>
      <c r="R28"/>
      <c r="S28"/>
      <c r="T28"/>
      <c r="U28"/>
    </row>
    <row r="29" spans="2:21" x14ac:dyDescent="0.25">
      <c r="B29" s="8" t="s">
        <v>2</v>
      </c>
      <c r="C29" s="8" t="s">
        <v>48</v>
      </c>
      <c r="D29" s="8">
        <v>2022</v>
      </c>
      <c r="I29" s="15">
        <f t="shared" si="0"/>
        <v>0</v>
      </c>
      <c r="J29" s="15"/>
      <c r="K29"/>
      <c r="L29"/>
      <c r="M29"/>
      <c r="N29"/>
      <c r="O29"/>
      <c r="P29"/>
      <c r="Q29"/>
      <c r="R29"/>
      <c r="S29"/>
      <c r="T29"/>
      <c r="U29"/>
    </row>
    <row r="30" spans="2:21" x14ac:dyDescent="0.25">
      <c r="B30" s="8" t="s">
        <v>3</v>
      </c>
      <c r="C30" s="8" t="s">
        <v>48</v>
      </c>
      <c r="D30" s="8">
        <v>2022</v>
      </c>
      <c r="E30" s="15">
        <v>27</v>
      </c>
      <c r="F30" s="15">
        <v>36</v>
      </c>
      <c r="G30" s="15">
        <v>24</v>
      </c>
      <c r="I30" s="15">
        <f t="shared" si="0"/>
        <v>87</v>
      </c>
      <c r="J30" s="15"/>
      <c r="K30"/>
      <c r="L30"/>
      <c r="M30"/>
      <c r="N30"/>
      <c r="O30"/>
      <c r="P30"/>
      <c r="Q30"/>
      <c r="R30"/>
      <c r="S30"/>
      <c r="T30"/>
      <c r="U30"/>
    </row>
    <row r="31" spans="2:21" x14ac:dyDescent="0.25">
      <c r="B31" s="8" t="s">
        <v>4</v>
      </c>
      <c r="C31" s="8" t="s">
        <v>48</v>
      </c>
      <c r="D31" s="8">
        <v>2022</v>
      </c>
      <c r="F31" s="15">
        <v>91</v>
      </c>
      <c r="G31" s="15">
        <v>82</v>
      </c>
      <c r="H31" s="15">
        <v>5</v>
      </c>
      <c r="I31" s="15">
        <f t="shared" si="0"/>
        <v>178</v>
      </c>
      <c r="J31" s="15"/>
      <c r="K31"/>
      <c r="L31"/>
      <c r="M31"/>
      <c r="N31"/>
      <c r="O31"/>
      <c r="P31"/>
      <c r="Q31"/>
      <c r="R31"/>
      <c r="S31"/>
      <c r="T31"/>
      <c r="U31"/>
    </row>
    <row r="32" spans="2:21" x14ac:dyDescent="0.25">
      <c r="B32" s="8" t="s">
        <v>5</v>
      </c>
      <c r="C32" s="8" t="s">
        <v>48</v>
      </c>
      <c r="D32" s="8">
        <v>2022</v>
      </c>
      <c r="E32" s="15">
        <v>3</v>
      </c>
      <c r="F32" s="15">
        <v>5</v>
      </c>
      <c r="G32" s="15">
        <v>4</v>
      </c>
      <c r="I32" s="15">
        <f t="shared" si="0"/>
        <v>12</v>
      </c>
      <c r="J32" s="15"/>
      <c r="K32"/>
      <c r="L32"/>
      <c r="M32"/>
      <c r="N32"/>
      <c r="O32"/>
      <c r="P32"/>
      <c r="Q32"/>
      <c r="R32"/>
      <c r="S32"/>
      <c r="T32"/>
      <c r="U32"/>
    </row>
    <row r="33" spans="2:21" x14ac:dyDescent="0.25">
      <c r="B33" s="8" t="s">
        <v>6</v>
      </c>
      <c r="C33" s="8" t="s">
        <v>48</v>
      </c>
      <c r="D33" s="8">
        <v>2022</v>
      </c>
      <c r="E33" s="15">
        <v>41</v>
      </c>
      <c r="F33" s="15">
        <v>5</v>
      </c>
      <c r="G33" s="15">
        <v>13</v>
      </c>
      <c r="I33" s="15">
        <f t="shared" si="0"/>
        <v>59</v>
      </c>
      <c r="J33" s="15"/>
      <c r="K33"/>
      <c r="L33"/>
      <c r="M33"/>
      <c r="N33"/>
      <c r="O33"/>
      <c r="P33"/>
      <c r="Q33"/>
      <c r="R33"/>
      <c r="S33"/>
      <c r="T33"/>
      <c r="U33"/>
    </row>
    <row r="34" spans="2:21" x14ac:dyDescent="0.25">
      <c r="B34" s="8" t="s">
        <v>7</v>
      </c>
      <c r="C34" s="8" t="s">
        <v>48</v>
      </c>
      <c r="D34" s="8">
        <v>2022</v>
      </c>
      <c r="E34" s="15">
        <v>1</v>
      </c>
      <c r="F34" s="15">
        <v>19</v>
      </c>
      <c r="G34" s="15">
        <v>43</v>
      </c>
      <c r="I34" s="15">
        <f t="shared" si="0"/>
        <v>63</v>
      </c>
      <c r="J34" s="15"/>
      <c r="K34"/>
      <c r="L34"/>
      <c r="M34"/>
      <c r="N34"/>
      <c r="O34"/>
      <c r="P34"/>
      <c r="Q34"/>
      <c r="R34"/>
      <c r="S34"/>
      <c r="T34"/>
      <c r="U34"/>
    </row>
    <row r="35" spans="2:21" x14ac:dyDescent="0.25">
      <c r="B35" s="8" t="s">
        <v>0</v>
      </c>
      <c r="C35" s="8" t="s">
        <v>49</v>
      </c>
      <c r="D35" s="8">
        <v>2022</v>
      </c>
      <c r="E35" s="15">
        <v>64</v>
      </c>
      <c r="F35" s="15">
        <v>11</v>
      </c>
      <c r="G35" s="15">
        <v>52</v>
      </c>
      <c r="H35" s="15">
        <v>2</v>
      </c>
      <c r="I35" s="15">
        <f t="shared" si="0"/>
        <v>129</v>
      </c>
      <c r="J35" s="15"/>
      <c r="K35"/>
      <c r="L35"/>
      <c r="M35"/>
      <c r="N35"/>
      <c r="O35"/>
      <c r="P35"/>
      <c r="Q35"/>
      <c r="R35"/>
      <c r="S35"/>
      <c r="T35"/>
      <c r="U35"/>
    </row>
    <row r="36" spans="2:21" x14ac:dyDescent="0.25">
      <c r="B36" s="8" t="s">
        <v>1</v>
      </c>
      <c r="C36" s="8" t="s">
        <v>49</v>
      </c>
      <c r="D36" s="8">
        <v>2022</v>
      </c>
      <c r="E36" s="15">
        <v>28</v>
      </c>
      <c r="F36" s="15">
        <v>19</v>
      </c>
      <c r="G36" s="15">
        <v>1</v>
      </c>
      <c r="I36" s="15">
        <f t="shared" si="0"/>
        <v>48</v>
      </c>
      <c r="J36" s="15"/>
      <c r="K36"/>
      <c r="L36"/>
      <c r="M36"/>
      <c r="N36"/>
      <c r="O36"/>
      <c r="P36"/>
      <c r="Q36"/>
      <c r="R36"/>
      <c r="S36"/>
      <c r="T36"/>
      <c r="U36"/>
    </row>
    <row r="37" spans="2:21" x14ac:dyDescent="0.25">
      <c r="B37" s="8" t="s">
        <v>2</v>
      </c>
      <c r="C37" s="8" t="s">
        <v>49</v>
      </c>
      <c r="D37" s="8">
        <v>2022</v>
      </c>
      <c r="E37" s="15">
        <v>1</v>
      </c>
      <c r="I37" s="15">
        <f t="shared" si="0"/>
        <v>1</v>
      </c>
      <c r="J37" s="15"/>
      <c r="K37"/>
      <c r="L37"/>
      <c r="M37"/>
      <c r="N37"/>
      <c r="O37"/>
      <c r="P37"/>
      <c r="Q37"/>
      <c r="R37"/>
      <c r="S37"/>
      <c r="T37"/>
      <c r="U37"/>
    </row>
    <row r="38" spans="2:21" x14ac:dyDescent="0.25">
      <c r="B38" s="8" t="s">
        <v>3</v>
      </c>
      <c r="C38" s="8" t="s">
        <v>49</v>
      </c>
      <c r="D38" s="8">
        <v>2022</v>
      </c>
      <c r="E38" s="15">
        <v>71</v>
      </c>
      <c r="F38" s="15">
        <v>46</v>
      </c>
      <c r="G38" s="15">
        <v>51</v>
      </c>
      <c r="H38" s="15">
        <v>1</v>
      </c>
      <c r="I38" s="15">
        <f t="shared" si="0"/>
        <v>169</v>
      </c>
      <c r="J38" s="15"/>
      <c r="K38"/>
      <c r="L38"/>
      <c r="M38"/>
      <c r="N38"/>
      <c r="O38"/>
      <c r="P38"/>
      <c r="Q38"/>
      <c r="R38"/>
      <c r="S38"/>
      <c r="T38"/>
      <c r="U38"/>
    </row>
    <row r="39" spans="2:21" x14ac:dyDescent="0.25">
      <c r="B39" s="8" t="s">
        <v>4</v>
      </c>
      <c r="C39" s="8" t="s">
        <v>49</v>
      </c>
      <c r="D39" s="8">
        <v>2022</v>
      </c>
      <c r="F39" s="15">
        <v>111</v>
      </c>
      <c r="G39" s="15">
        <v>611</v>
      </c>
      <c r="H39" s="15">
        <v>11</v>
      </c>
      <c r="I39" s="15">
        <f t="shared" si="0"/>
        <v>733</v>
      </c>
      <c r="J39" s="15"/>
      <c r="K39"/>
      <c r="L39"/>
      <c r="M39"/>
      <c r="N39"/>
      <c r="O39"/>
      <c r="P39"/>
      <c r="Q39"/>
      <c r="R39"/>
      <c r="S39"/>
      <c r="T39"/>
      <c r="U39"/>
    </row>
    <row r="40" spans="2:21" x14ac:dyDescent="0.25">
      <c r="B40" s="8" t="s">
        <v>5</v>
      </c>
      <c r="C40" s="8" t="s">
        <v>49</v>
      </c>
      <c r="D40" s="8">
        <v>2022</v>
      </c>
      <c r="E40" s="15">
        <v>12</v>
      </c>
      <c r="F40" s="15">
        <v>9</v>
      </c>
      <c r="G40" s="15">
        <v>5</v>
      </c>
      <c r="I40" s="15">
        <f t="shared" si="0"/>
        <v>26</v>
      </c>
      <c r="J40" s="15"/>
      <c r="K40"/>
      <c r="L40"/>
      <c r="M40"/>
      <c r="N40"/>
      <c r="O40"/>
      <c r="P40"/>
      <c r="Q40"/>
      <c r="R40"/>
      <c r="S40"/>
      <c r="T40"/>
      <c r="U40"/>
    </row>
    <row r="41" spans="2:21" x14ac:dyDescent="0.25">
      <c r="B41" s="8" t="s">
        <v>6</v>
      </c>
      <c r="C41" s="8" t="s">
        <v>49</v>
      </c>
      <c r="D41" s="8">
        <v>2022</v>
      </c>
      <c r="E41" s="15">
        <v>52</v>
      </c>
      <c r="F41" s="15">
        <v>10</v>
      </c>
      <c r="G41" s="15">
        <v>33</v>
      </c>
      <c r="I41" s="15">
        <f t="shared" si="0"/>
        <v>95</v>
      </c>
      <c r="J41" s="15"/>
      <c r="K41"/>
      <c r="L41"/>
      <c r="M41"/>
      <c r="N41"/>
      <c r="O41"/>
      <c r="P41"/>
      <c r="Q41"/>
      <c r="R41"/>
      <c r="S41"/>
      <c r="T41"/>
      <c r="U41"/>
    </row>
    <row r="42" spans="2:21" x14ac:dyDescent="0.25">
      <c r="B42" s="8" t="s">
        <v>7</v>
      </c>
      <c r="C42" s="8" t="s">
        <v>49</v>
      </c>
      <c r="D42" s="8">
        <v>2022</v>
      </c>
      <c r="E42" s="15">
        <v>29</v>
      </c>
      <c r="F42" s="15">
        <v>36</v>
      </c>
      <c r="G42" s="15">
        <v>159</v>
      </c>
      <c r="H42" s="15">
        <v>5</v>
      </c>
      <c r="I42" s="15">
        <f t="shared" si="0"/>
        <v>229</v>
      </c>
      <c r="J42" s="15"/>
      <c r="K42"/>
      <c r="L42"/>
      <c r="M42"/>
      <c r="N42"/>
      <c r="O42"/>
      <c r="P42"/>
      <c r="Q42"/>
      <c r="R42"/>
      <c r="S42"/>
      <c r="T42"/>
      <c r="U42"/>
    </row>
    <row r="43" spans="2:21" x14ac:dyDescent="0.25">
      <c r="B43" s="8" t="s">
        <v>0</v>
      </c>
      <c r="C43" s="8" t="s">
        <v>50</v>
      </c>
      <c r="D43" s="8">
        <v>2022</v>
      </c>
      <c r="E43" s="15">
        <v>112</v>
      </c>
      <c r="F43" s="15">
        <v>71</v>
      </c>
      <c r="G43" s="15">
        <v>115</v>
      </c>
      <c r="I43" s="15">
        <f t="shared" si="0"/>
        <v>298</v>
      </c>
      <c r="J43" s="15"/>
      <c r="K43"/>
      <c r="L43"/>
      <c r="M43"/>
      <c r="N43"/>
      <c r="O43"/>
      <c r="P43"/>
      <c r="Q43"/>
      <c r="R43"/>
      <c r="S43"/>
      <c r="T43"/>
      <c r="U43"/>
    </row>
    <row r="44" spans="2:21" x14ac:dyDescent="0.25">
      <c r="B44" s="8" t="s">
        <v>1</v>
      </c>
      <c r="C44" s="8" t="s">
        <v>50</v>
      </c>
      <c r="D44" s="8">
        <v>2022</v>
      </c>
      <c r="E44" s="15">
        <v>27</v>
      </c>
      <c r="F44" s="15">
        <v>25</v>
      </c>
      <c r="G44" s="15">
        <v>18</v>
      </c>
      <c r="I44" s="15">
        <f t="shared" si="0"/>
        <v>70</v>
      </c>
      <c r="J44" s="15"/>
      <c r="K44"/>
      <c r="L44"/>
      <c r="M44"/>
      <c r="N44"/>
      <c r="O44"/>
      <c r="P44"/>
      <c r="Q44"/>
      <c r="R44"/>
      <c r="S44"/>
      <c r="T44"/>
      <c r="U44"/>
    </row>
    <row r="45" spans="2:21" x14ac:dyDescent="0.25">
      <c r="B45" s="8" t="s">
        <v>2</v>
      </c>
      <c r="C45" s="8" t="s">
        <v>50</v>
      </c>
      <c r="D45" s="8">
        <v>2022</v>
      </c>
      <c r="E45" s="15">
        <v>1</v>
      </c>
      <c r="F45" s="15">
        <v>3</v>
      </c>
      <c r="G45" s="15">
        <v>3</v>
      </c>
      <c r="I45" s="15">
        <f t="shared" si="0"/>
        <v>7</v>
      </c>
      <c r="J45" s="15"/>
      <c r="K45"/>
      <c r="L45"/>
      <c r="M45"/>
      <c r="N45"/>
      <c r="O45"/>
      <c r="P45"/>
      <c r="Q45"/>
      <c r="R45"/>
      <c r="S45"/>
      <c r="T45"/>
      <c r="U45"/>
    </row>
    <row r="46" spans="2:21" x14ac:dyDescent="0.25">
      <c r="B46" s="8" t="s">
        <v>3</v>
      </c>
      <c r="C46" s="8" t="s">
        <v>50</v>
      </c>
      <c r="D46" s="8">
        <v>2022</v>
      </c>
      <c r="E46" s="15">
        <v>128</v>
      </c>
      <c r="F46" s="15">
        <v>67</v>
      </c>
      <c r="G46" s="15">
        <v>151</v>
      </c>
      <c r="H46" s="15">
        <v>1</v>
      </c>
      <c r="I46" s="15">
        <f t="shared" si="0"/>
        <v>347</v>
      </c>
      <c r="J46" s="15"/>
      <c r="K46"/>
      <c r="L46"/>
      <c r="M46"/>
      <c r="N46"/>
      <c r="O46"/>
      <c r="P46"/>
      <c r="Q46"/>
      <c r="R46"/>
      <c r="S46"/>
      <c r="T46"/>
      <c r="U46"/>
    </row>
    <row r="47" spans="2:21" x14ac:dyDescent="0.25">
      <c r="B47" s="8" t="s">
        <v>4</v>
      </c>
      <c r="C47" s="8" t="s">
        <v>50</v>
      </c>
      <c r="D47" s="8">
        <v>2022</v>
      </c>
      <c r="E47" s="15">
        <v>14</v>
      </c>
      <c r="F47" s="15">
        <v>342</v>
      </c>
      <c r="G47" s="15">
        <v>1507</v>
      </c>
      <c r="H47" s="15">
        <v>29</v>
      </c>
      <c r="I47" s="15">
        <f t="shared" si="0"/>
        <v>1892</v>
      </c>
      <c r="J47" s="15"/>
      <c r="K47"/>
      <c r="L47"/>
      <c r="M47"/>
      <c r="N47"/>
      <c r="O47"/>
      <c r="P47"/>
      <c r="Q47"/>
      <c r="R47"/>
      <c r="S47"/>
      <c r="T47"/>
      <c r="U47"/>
    </row>
    <row r="48" spans="2:21" x14ac:dyDescent="0.25">
      <c r="B48" s="8" t="s">
        <v>5</v>
      </c>
      <c r="C48" s="8" t="s">
        <v>50</v>
      </c>
      <c r="D48" s="8">
        <v>2022</v>
      </c>
      <c r="E48" s="15">
        <v>22</v>
      </c>
      <c r="F48" s="15">
        <v>11</v>
      </c>
      <c r="G48" s="15">
        <v>39</v>
      </c>
      <c r="I48" s="15">
        <f t="shared" si="0"/>
        <v>72</v>
      </c>
      <c r="J48" s="15"/>
      <c r="K48"/>
      <c r="L48"/>
      <c r="M48"/>
      <c r="N48"/>
      <c r="O48"/>
      <c r="P48"/>
      <c r="Q48"/>
      <c r="R48"/>
      <c r="S48"/>
      <c r="T48"/>
      <c r="U48"/>
    </row>
    <row r="49" spans="2:21" x14ac:dyDescent="0.25">
      <c r="B49" s="8" t="s">
        <v>6</v>
      </c>
      <c r="C49" s="8" t="s">
        <v>50</v>
      </c>
      <c r="D49" s="8">
        <v>2022</v>
      </c>
      <c r="E49" s="15">
        <v>90</v>
      </c>
      <c r="F49" s="15">
        <v>90</v>
      </c>
      <c r="G49" s="15">
        <v>148</v>
      </c>
      <c r="H49" s="15">
        <v>3</v>
      </c>
      <c r="I49" s="15">
        <f t="shared" si="0"/>
        <v>331</v>
      </c>
      <c r="J49" s="15"/>
      <c r="K49"/>
      <c r="L49"/>
      <c r="M49"/>
      <c r="N49"/>
      <c r="O49"/>
      <c r="P49"/>
      <c r="Q49"/>
      <c r="R49"/>
      <c r="S49"/>
      <c r="T49"/>
      <c r="U49"/>
    </row>
    <row r="50" spans="2:21" x14ac:dyDescent="0.25">
      <c r="B50" s="8" t="s">
        <v>7</v>
      </c>
      <c r="C50" s="8" t="s">
        <v>50</v>
      </c>
      <c r="D50" s="8">
        <v>2022</v>
      </c>
      <c r="E50" s="15">
        <v>38</v>
      </c>
      <c r="F50" s="15">
        <v>190</v>
      </c>
      <c r="G50" s="15">
        <v>372</v>
      </c>
      <c r="H50" s="15">
        <v>1</v>
      </c>
      <c r="I50" s="15">
        <f t="shared" si="0"/>
        <v>601</v>
      </c>
      <c r="J50" s="15"/>
      <c r="K50"/>
      <c r="L50"/>
      <c r="M50"/>
      <c r="N50"/>
      <c r="O50"/>
      <c r="P50"/>
      <c r="Q50"/>
      <c r="R50"/>
      <c r="S50"/>
      <c r="T50"/>
      <c r="U50"/>
    </row>
    <row r="51" spans="2:21" x14ac:dyDescent="0.25">
      <c r="B51" s="8" t="s">
        <v>0</v>
      </c>
      <c r="C51" s="8" t="s">
        <v>51</v>
      </c>
      <c r="D51" s="8">
        <v>2022</v>
      </c>
      <c r="E51" s="15">
        <v>177</v>
      </c>
      <c r="F51" s="15">
        <v>271</v>
      </c>
      <c r="G51" s="15">
        <v>640</v>
      </c>
      <c r="H51" s="15">
        <v>5</v>
      </c>
      <c r="I51" s="15">
        <f t="shared" si="0"/>
        <v>1093</v>
      </c>
      <c r="J51" s="15"/>
      <c r="K51"/>
      <c r="L51"/>
      <c r="M51"/>
      <c r="N51"/>
      <c r="O51"/>
      <c r="P51"/>
      <c r="Q51"/>
      <c r="R51"/>
      <c r="S51"/>
      <c r="T51"/>
      <c r="U51"/>
    </row>
    <row r="52" spans="2:21" x14ac:dyDescent="0.25">
      <c r="B52" s="8" t="s">
        <v>1</v>
      </c>
      <c r="C52" s="8" t="s">
        <v>51</v>
      </c>
      <c r="D52" s="8">
        <v>2022</v>
      </c>
      <c r="E52" s="15">
        <v>68</v>
      </c>
      <c r="F52" s="15">
        <v>36</v>
      </c>
      <c r="G52" s="15">
        <v>118</v>
      </c>
      <c r="H52" s="15">
        <v>1</v>
      </c>
      <c r="I52" s="15">
        <f t="shared" si="0"/>
        <v>223</v>
      </c>
      <c r="J52" s="15"/>
      <c r="K52"/>
      <c r="L52"/>
      <c r="M52"/>
      <c r="N52"/>
      <c r="O52"/>
      <c r="P52"/>
      <c r="Q52"/>
      <c r="R52"/>
      <c r="S52"/>
      <c r="T52"/>
      <c r="U52"/>
    </row>
    <row r="53" spans="2:21" x14ac:dyDescent="0.25">
      <c r="B53" s="8" t="s">
        <v>2</v>
      </c>
      <c r="C53" s="8" t="s">
        <v>51</v>
      </c>
      <c r="D53" s="8">
        <v>2022</v>
      </c>
      <c r="E53" s="15">
        <v>4</v>
      </c>
      <c r="F53" s="15">
        <v>6</v>
      </c>
      <c r="G53" s="15">
        <v>19</v>
      </c>
      <c r="I53" s="15">
        <f t="shared" si="0"/>
        <v>29</v>
      </c>
      <c r="J53" s="15"/>
      <c r="K53"/>
      <c r="L53"/>
      <c r="M53"/>
      <c r="N53"/>
      <c r="O53"/>
      <c r="P53"/>
      <c r="Q53"/>
      <c r="R53"/>
      <c r="S53"/>
      <c r="T53"/>
      <c r="U53"/>
    </row>
    <row r="54" spans="2:21" x14ac:dyDescent="0.25">
      <c r="B54" s="8" t="s">
        <v>3</v>
      </c>
      <c r="C54" s="8" t="s">
        <v>51</v>
      </c>
      <c r="D54" s="8">
        <v>2022</v>
      </c>
      <c r="E54" s="15">
        <v>224</v>
      </c>
      <c r="F54" s="15">
        <v>362</v>
      </c>
      <c r="G54" s="15">
        <v>624</v>
      </c>
      <c r="H54" s="15">
        <v>3</v>
      </c>
      <c r="I54" s="15">
        <f t="shared" si="0"/>
        <v>1213</v>
      </c>
      <c r="J54" s="15"/>
      <c r="K54"/>
      <c r="L54"/>
      <c r="M54"/>
      <c r="N54"/>
      <c r="O54"/>
      <c r="P54"/>
      <c r="Q54"/>
      <c r="R54"/>
      <c r="S54"/>
      <c r="T54"/>
      <c r="U54"/>
    </row>
    <row r="55" spans="2:21" x14ac:dyDescent="0.25">
      <c r="B55" s="8" t="s">
        <v>4</v>
      </c>
      <c r="C55" s="8" t="s">
        <v>51</v>
      </c>
      <c r="D55" s="8">
        <v>2022</v>
      </c>
      <c r="E55" s="15">
        <v>22</v>
      </c>
      <c r="F55" s="15">
        <v>549</v>
      </c>
      <c r="G55" s="15">
        <v>3157</v>
      </c>
      <c r="H55" s="15">
        <v>66</v>
      </c>
      <c r="I55" s="15">
        <f t="shared" si="0"/>
        <v>3794</v>
      </c>
      <c r="J55" s="15"/>
      <c r="K55"/>
      <c r="L55"/>
      <c r="M55"/>
      <c r="N55"/>
      <c r="O55"/>
      <c r="P55"/>
      <c r="Q55"/>
      <c r="R55"/>
      <c r="S55"/>
      <c r="T55"/>
      <c r="U55"/>
    </row>
    <row r="56" spans="2:21" x14ac:dyDescent="0.25">
      <c r="B56" s="8" t="s">
        <v>5</v>
      </c>
      <c r="C56" s="8" t="s">
        <v>51</v>
      </c>
      <c r="D56" s="8">
        <v>2022</v>
      </c>
      <c r="E56" s="15">
        <v>6</v>
      </c>
      <c r="F56" s="15">
        <v>53</v>
      </c>
      <c r="G56" s="15">
        <v>109</v>
      </c>
      <c r="H56" s="15">
        <v>4</v>
      </c>
      <c r="I56" s="15">
        <f t="shared" si="0"/>
        <v>172</v>
      </c>
      <c r="J56" s="15"/>
      <c r="K56"/>
      <c r="L56"/>
      <c r="M56"/>
      <c r="N56"/>
      <c r="O56"/>
      <c r="P56"/>
      <c r="Q56"/>
      <c r="R56"/>
      <c r="S56"/>
      <c r="T56"/>
      <c r="U56"/>
    </row>
    <row r="57" spans="2:21" x14ac:dyDescent="0.25">
      <c r="B57" s="8" t="s">
        <v>6</v>
      </c>
      <c r="C57" s="8" t="s">
        <v>51</v>
      </c>
      <c r="D57" s="8">
        <v>2022</v>
      </c>
      <c r="E57" s="15">
        <v>172</v>
      </c>
      <c r="F57" s="15">
        <v>457</v>
      </c>
      <c r="G57" s="15">
        <v>884</v>
      </c>
      <c r="H57" s="15">
        <v>13</v>
      </c>
      <c r="I57" s="15">
        <f t="shared" si="0"/>
        <v>1526</v>
      </c>
      <c r="J57" s="15"/>
      <c r="K57"/>
      <c r="L57"/>
      <c r="M57"/>
      <c r="N57"/>
      <c r="O57"/>
      <c r="P57"/>
      <c r="Q57"/>
      <c r="R57"/>
      <c r="S57"/>
      <c r="T57"/>
      <c r="U57"/>
    </row>
    <row r="58" spans="2:21" x14ac:dyDescent="0.25">
      <c r="B58" s="8" t="s">
        <v>7</v>
      </c>
      <c r="C58" s="8" t="s">
        <v>51</v>
      </c>
      <c r="D58" s="8">
        <v>2022</v>
      </c>
      <c r="E58" s="15">
        <v>128</v>
      </c>
      <c r="F58" s="15">
        <v>725</v>
      </c>
      <c r="G58" s="15">
        <v>1694</v>
      </c>
      <c r="H58" s="15">
        <v>10</v>
      </c>
      <c r="I58" s="15">
        <f t="shared" si="0"/>
        <v>2557</v>
      </c>
      <c r="J58" s="15"/>
      <c r="K58"/>
      <c r="L58"/>
      <c r="M58"/>
      <c r="N58"/>
      <c r="O58"/>
      <c r="P58"/>
      <c r="Q58"/>
      <c r="R58"/>
      <c r="S58"/>
      <c r="T58"/>
      <c r="U58"/>
    </row>
    <row r="59" spans="2:21" x14ac:dyDescent="0.25">
      <c r="B59" s="8" t="s">
        <v>0</v>
      </c>
      <c r="C59" s="8" t="s">
        <v>52</v>
      </c>
      <c r="D59" s="8">
        <v>2022</v>
      </c>
      <c r="E59" s="15">
        <v>146</v>
      </c>
      <c r="F59" s="15">
        <v>91</v>
      </c>
      <c r="G59" s="15">
        <v>239</v>
      </c>
      <c r="H59" s="15">
        <v>12</v>
      </c>
      <c r="I59" s="15">
        <f t="shared" si="0"/>
        <v>488</v>
      </c>
      <c r="J59" s="15"/>
      <c r="K59"/>
      <c r="L59"/>
      <c r="M59"/>
      <c r="N59"/>
      <c r="O59"/>
      <c r="P59"/>
      <c r="Q59"/>
      <c r="R59"/>
      <c r="S59"/>
      <c r="T59"/>
      <c r="U59"/>
    </row>
    <row r="60" spans="2:21" x14ac:dyDescent="0.25">
      <c r="B60" s="8" t="s">
        <v>1</v>
      </c>
      <c r="C60" s="8" t="s">
        <v>52</v>
      </c>
      <c r="D60" s="8">
        <v>2022</v>
      </c>
      <c r="E60" s="15">
        <v>32</v>
      </c>
      <c r="F60" s="15">
        <v>26</v>
      </c>
      <c r="G60" s="15">
        <v>43</v>
      </c>
      <c r="I60" s="15">
        <f t="shared" si="0"/>
        <v>101</v>
      </c>
      <c r="J60" s="15"/>
      <c r="K60"/>
      <c r="L60"/>
      <c r="M60"/>
      <c r="N60"/>
      <c r="O60"/>
      <c r="P60"/>
      <c r="Q60"/>
      <c r="R60"/>
      <c r="S60"/>
      <c r="T60"/>
      <c r="U60"/>
    </row>
    <row r="61" spans="2:21" x14ac:dyDescent="0.25">
      <c r="B61" s="8" t="s">
        <v>2</v>
      </c>
      <c r="C61" s="8" t="s">
        <v>52</v>
      </c>
      <c r="D61" s="8">
        <v>2022</v>
      </c>
      <c r="E61" s="15">
        <v>5</v>
      </c>
      <c r="G61" s="15">
        <v>1</v>
      </c>
      <c r="I61" s="15">
        <f t="shared" si="0"/>
        <v>6</v>
      </c>
      <c r="J61" s="15"/>
      <c r="K61"/>
      <c r="L61"/>
      <c r="M61"/>
      <c r="N61"/>
      <c r="O61"/>
      <c r="P61"/>
      <c r="Q61"/>
      <c r="R61"/>
      <c r="S61"/>
      <c r="T61"/>
      <c r="U61"/>
    </row>
    <row r="62" spans="2:21" x14ac:dyDescent="0.25">
      <c r="B62" s="8" t="s">
        <v>3</v>
      </c>
      <c r="C62" s="8" t="s">
        <v>52</v>
      </c>
      <c r="D62" s="8">
        <v>2022</v>
      </c>
      <c r="E62" s="15">
        <v>237</v>
      </c>
      <c r="F62" s="15">
        <v>198</v>
      </c>
      <c r="G62" s="15">
        <v>237</v>
      </c>
      <c r="H62" s="15">
        <v>3</v>
      </c>
      <c r="I62" s="15">
        <f t="shared" si="0"/>
        <v>675</v>
      </c>
      <c r="J62" s="15"/>
      <c r="K62"/>
      <c r="L62"/>
      <c r="M62"/>
      <c r="N62"/>
      <c r="O62"/>
      <c r="P62"/>
      <c r="Q62"/>
      <c r="R62"/>
      <c r="S62"/>
      <c r="T62"/>
      <c r="U62"/>
    </row>
    <row r="63" spans="2:21" x14ac:dyDescent="0.25">
      <c r="B63" s="8" t="s">
        <v>4</v>
      </c>
      <c r="C63" s="8" t="s">
        <v>52</v>
      </c>
      <c r="D63" s="8">
        <v>2022</v>
      </c>
      <c r="E63" s="15">
        <v>1</v>
      </c>
      <c r="F63" s="15">
        <v>324</v>
      </c>
      <c r="G63" s="15">
        <v>2037</v>
      </c>
      <c r="H63" s="15">
        <v>67</v>
      </c>
      <c r="I63" s="15">
        <f t="shared" si="0"/>
        <v>2429</v>
      </c>
      <c r="J63" s="15"/>
      <c r="K63"/>
      <c r="L63"/>
      <c r="M63"/>
      <c r="N63"/>
      <c r="O63"/>
      <c r="P63"/>
      <c r="Q63"/>
      <c r="R63"/>
      <c r="S63"/>
      <c r="T63"/>
      <c r="U63"/>
    </row>
    <row r="64" spans="2:21" x14ac:dyDescent="0.25">
      <c r="B64" s="8" t="s">
        <v>5</v>
      </c>
      <c r="C64" s="8" t="s">
        <v>52</v>
      </c>
      <c r="D64" s="8">
        <v>2022</v>
      </c>
      <c r="E64" s="15">
        <v>17</v>
      </c>
      <c r="F64" s="15">
        <v>20</v>
      </c>
      <c r="G64" s="15">
        <v>23</v>
      </c>
      <c r="I64" s="15">
        <f t="shared" si="0"/>
        <v>60</v>
      </c>
      <c r="J64" s="15"/>
      <c r="K64"/>
      <c r="L64"/>
      <c r="M64"/>
      <c r="N64"/>
      <c r="O64"/>
      <c r="P64"/>
      <c r="Q64"/>
      <c r="R64"/>
      <c r="S64"/>
      <c r="T64"/>
      <c r="U64"/>
    </row>
    <row r="65" spans="2:21" x14ac:dyDescent="0.25">
      <c r="B65" s="8" t="s">
        <v>6</v>
      </c>
      <c r="C65" s="8" t="s">
        <v>52</v>
      </c>
      <c r="D65" s="8">
        <v>2022</v>
      </c>
      <c r="E65" s="15">
        <v>158</v>
      </c>
      <c r="F65" s="15">
        <v>136</v>
      </c>
      <c r="G65" s="15">
        <v>262</v>
      </c>
      <c r="H65" s="15">
        <v>1</v>
      </c>
      <c r="I65" s="15">
        <f t="shared" si="0"/>
        <v>557</v>
      </c>
      <c r="J65" s="15"/>
      <c r="K65"/>
      <c r="L65"/>
      <c r="M65"/>
      <c r="N65"/>
      <c r="O65"/>
      <c r="P65"/>
      <c r="Q65"/>
      <c r="R65"/>
      <c r="S65"/>
      <c r="T65"/>
      <c r="U65"/>
    </row>
    <row r="66" spans="2:21" x14ac:dyDescent="0.25">
      <c r="B66" s="8" t="s">
        <v>7</v>
      </c>
      <c r="C66" s="8" t="s">
        <v>52</v>
      </c>
      <c r="D66" s="8">
        <v>2022</v>
      </c>
      <c r="E66" s="15">
        <v>63</v>
      </c>
      <c r="F66" s="15">
        <v>224</v>
      </c>
      <c r="G66" s="15">
        <v>515</v>
      </c>
      <c r="H66" s="15">
        <v>2</v>
      </c>
      <c r="I66" s="15">
        <f t="shared" si="0"/>
        <v>804</v>
      </c>
      <c r="J66" s="15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B67" s="8" t="s">
        <v>0</v>
      </c>
      <c r="C67" s="8" t="s">
        <v>45</v>
      </c>
      <c r="D67" s="8">
        <v>2023</v>
      </c>
      <c r="E67" s="15">
        <v>11</v>
      </c>
      <c r="F67" s="15">
        <v>1</v>
      </c>
      <c r="I67" s="15">
        <f t="shared" si="0"/>
        <v>12</v>
      </c>
      <c r="J67" s="15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B68" s="8" t="s">
        <v>1</v>
      </c>
      <c r="C68" s="8" t="s">
        <v>45</v>
      </c>
      <c r="D68" s="8">
        <v>2023</v>
      </c>
      <c r="E68" s="15">
        <v>3</v>
      </c>
      <c r="I68" s="15">
        <f t="shared" ref="I68:I130" si="1">SUM(E68:H68)</f>
        <v>3</v>
      </c>
      <c r="J68" s="15"/>
      <c r="K68"/>
      <c r="L68"/>
      <c r="M68"/>
      <c r="N68"/>
    </row>
    <row r="69" spans="2:21" x14ac:dyDescent="0.25">
      <c r="B69" s="8" t="s">
        <v>2</v>
      </c>
      <c r="C69" s="8" t="s">
        <v>45</v>
      </c>
      <c r="D69" s="8">
        <v>2023</v>
      </c>
      <c r="E69" s="15">
        <v>2</v>
      </c>
      <c r="I69" s="15">
        <f t="shared" si="1"/>
        <v>2</v>
      </c>
      <c r="J69" s="15"/>
      <c r="K69"/>
      <c r="L69"/>
      <c r="M69"/>
      <c r="N69"/>
    </row>
    <row r="70" spans="2:21" x14ac:dyDescent="0.25">
      <c r="B70" s="8" t="s">
        <v>3</v>
      </c>
      <c r="C70" s="8" t="s">
        <v>45</v>
      </c>
      <c r="D70" s="8">
        <v>2023</v>
      </c>
      <c r="E70" s="15">
        <v>1</v>
      </c>
      <c r="F70" s="15">
        <v>1</v>
      </c>
      <c r="I70" s="15">
        <f t="shared" si="1"/>
        <v>2</v>
      </c>
      <c r="J70" s="15"/>
      <c r="K70"/>
      <c r="L70"/>
      <c r="M70"/>
      <c r="N70"/>
    </row>
    <row r="71" spans="2:21" x14ac:dyDescent="0.25">
      <c r="B71" s="8" t="s">
        <v>4</v>
      </c>
      <c r="C71" s="8" t="s">
        <v>45</v>
      </c>
      <c r="D71" s="8">
        <v>2023</v>
      </c>
      <c r="F71" s="15">
        <v>1</v>
      </c>
      <c r="I71" s="15">
        <f t="shared" si="1"/>
        <v>1</v>
      </c>
      <c r="J71" s="15"/>
      <c r="K71"/>
      <c r="L71"/>
      <c r="M71"/>
      <c r="N71"/>
    </row>
    <row r="72" spans="2:21" x14ac:dyDescent="0.25">
      <c r="B72" s="8" t="s">
        <v>5</v>
      </c>
      <c r="C72" s="8" t="s">
        <v>45</v>
      </c>
      <c r="D72" s="8">
        <v>2023</v>
      </c>
      <c r="E72" s="15">
        <v>2</v>
      </c>
      <c r="I72" s="15">
        <f t="shared" si="1"/>
        <v>2</v>
      </c>
      <c r="J72" s="15"/>
      <c r="K72"/>
      <c r="L72"/>
      <c r="M72"/>
      <c r="N72"/>
    </row>
    <row r="73" spans="2:21" x14ac:dyDescent="0.25">
      <c r="B73" s="8" t="s">
        <v>6</v>
      </c>
      <c r="C73" s="8" t="s">
        <v>45</v>
      </c>
      <c r="D73" s="8">
        <v>2023</v>
      </c>
      <c r="E73" s="15">
        <v>1</v>
      </c>
      <c r="I73" s="15">
        <f t="shared" si="1"/>
        <v>1</v>
      </c>
      <c r="J73" s="15"/>
      <c r="K73"/>
      <c r="L73"/>
      <c r="M73"/>
      <c r="N73"/>
    </row>
    <row r="74" spans="2:21" x14ac:dyDescent="0.25">
      <c r="B74" s="8" t="s">
        <v>7</v>
      </c>
      <c r="C74" s="8" t="s">
        <v>45</v>
      </c>
      <c r="D74" s="8">
        <v>2023</v>
      </c>
      <c r="F74" s="15">
        <v>2</v>
      </c>
      <c r="I74" s="15">
        <f t="shared" si="1"/>
        <v>2</v>
      </c>
      <c r="J74" s="15"/>
      <c r="K74"/>
      <c r="L74"/>
      <c r="M74"/>
      <c r="N74"/>
    </row>
    <row r="75" spans="2:21" x14ac:dyDescent="0.25">
      <c r="B75" s="8" t="s">
        <v>0</v>
      </c>
      <c r="C75" s="8" t="s">
        <v>46</v>
      </c>
      <c r="D75" s="8">
        <v>2023</v>
      </c>
      <c r="E75" s="15">
        <v>11</v>
      </c>
      <c r="I75" s="15">
        <f t="shared" si="1"/>
        <v>11</v>
      </c>
      <c r="J75" s="15"/>
      <c r="K75"/>
      <c r="L75"/>
      <c r="M75"/>
      <c r="N75"/>
    </row>
    <row r="76" spans="2:21" x14ac:dyDescent="0.25">
      <c r="B76" s="8" t="s">
        <v>1</v>
      </c>
      <c r="C76" s="8" t="s">
        <v>46</v>
      </c>
      <c r="D76" s="8">
        <v>2023</v>
      </c>
      <c r="E76" s="15">
        <v>4</v>
      </c>
      <c r="I76" s="15">
        <f t="shared" si="1"/>
        <v>4</v>
      </c>
      <c r="J76" s="15"/>
      <c r="K76"/>
      <c r="L76"/>
      <c r="M76"/>
      <c r="N76"/>
    </row>
    <row r="77" spans="2:21" x14ac:dyDescent="0.25">
      <c r="B77" s="8" t="s">
        <v>2</v>
      </c>
      <c r="C77" s="8" t="s">
        <v>46</v>
      </c>
      <c r="D77" s="8">
        <v>2023</v>
      </c>
      <c r="E77" s="15">
        <v>3</v>
      </c>
      <c r="I77" s="15">
        <f t="shared" si="1"/>
        <v>3</v>
      </c>
      <c r="J77" s="15"/>
      <c r="K77"/>
      <c r="L77"/>
      <c r="M77"/>
      <c r="N77"/>
    </row>
    <row r="78" spans="2:21" x14ac:dyDescent="0.25">
      <c r="B78" s="8" t="s">
        <v>3</v>
      </c>
      <c r="C78" s="8" t="s">
        <v>46</v>
      </c>
      <c r="D78" s="8">
        <v>2023</v>
      </c>
      <c r="G78" s="15">
        <v>1</v>
      </c>
      <c r="I78" s="15">
        <f t="shared" si="1"/>
        <v>1</v>
      </c>
      <c r="J78" s="15"/>
      <c r="K78"/>
      <c r="L78"/>
      <c r="M78"/>
      <c r="N78"/>
    </row>
    <row r="79" spans="2:21" x14ac:dyDescent="0.25">
      <c r="B79" s="8" t="s">
        <v>4</v>
      </c>
      <c r="C79" s="8" t="s">
        <v>46</v>
      </c>
      <c r="D79" s="8">
        <v>2023</v>
      </c>
      <c r="E79" s="15">
        <v>1</v>
      </c>
      <c r="F79" s="15">
        <v>2</v>
      </c>
      <c r="G79" s="15">
        <v>1</v>
      </c>
      <c r="I79" s="15">
        <f t="shared" si="1"/>
        <v>4</v>
      </c>
      <c r="J79" s="15"/>
      <c r="K79"/>
      <c r="L79"/>
      <c r="M79"/>
      <c r="N79"/>
    </row>
    <row r="80" spans="2:21" x14ac:dyDescent="0.25">
      <c r="B80" s="8" t="s">
        <v>5</v>
      </c>
      <c r="C80" s="8" t="s">
        <v>46</v>
      </c>
      <c r="D80" s="8">
        <v>2023</v>
      </c>
      <c r="E80" s="15">
        <v>3</v>
      </c>
      <c r="I80" s="15">
        <f t="shared" si="1"/>
        <v>3</v>
      </c>
      <c r="J80" s="15"/>
      <c r="K80"/>
      <c r="L80"/>
      <c r="M80"/>
      <c r="N80"/>
    </row>
    <row r="81" spans="2:14" x14ac:dyDescent="0.25">
      <c r="B81" s="8" t="s">
        <v>6</v>
      </c>
      <c r="C81" s="8" t="s">
        <v>46</v>
      </c>
      <c r="D81" s="8">
        <v>2023</v>
      </c>
      <c r="E81" s="15">
        <v>6</v>
      </c>
      <c r="F81" s="15">
        <v>1</v>
      </c>
      <c r="I81" s="15">
        <f t="shared" si="1"/>
        <v>7</v>
      </c>
      <c r="J81" s="15"/>
      <c r="K81"/>
      <c r="L81"/>
      <c r="M81"/>
      <c r="N81"/>
    </row>
    <row r="82" spans="2:14" x14ac:dyDescent="0.25">
      <c r="B82" s="8" t="s">
        <v>7</v>
      </c>
      <c r="C82" s="8" t="s">
        <v>46</v>
      </c>
      <c r="D82" s="8">
        <v>2023</v>
      </c>
      <c r="E82" s="15">
        <v>1</v>
      </c>
      <c r="I82" s="15">
        <f t="shared" si="1"/>
        <v>1</v>
      </c>
      <c r="J82" s="15"/>
      <c r="K82"/>
      <c r="L82"/>
      <c r="M82"/>
      <c r="N82"/>
    </row>
    <row r="83" spans="2:14" x14ac:dyDescent="0.25">
      <c r="B83" s="8" t="s">
        <v>0</v>
      </c>
      <c r="C83" s="8" t="s">
        <v>47</v>
      </c>
      <c r="D83" s="8">
        <v>2023</v>
      </c>
      <c r="E83" s="15">
        <v>16</v>
      </c>
      <c r="G83" s="15">
        <v>1</v>
      </c>
      <c r="I83" s="15">
        <f t="shared" si="1"/>
        <v>17</v>
      </c>
      <c r="J83" s="15"/>
      <c r="K83"/>
      <c r="L83"/>
      <c r="M83"/>
      <c r="N83"/>
    </row>
    <row r="84" spans="2:14" x14ac:dyDescent="0.25">
      <c r="B84" s="8" t="s">
        <v>1</v>
      </c>
      <c r="C84" s="8" t="s">
        <v>47</v>
      </c>
      <c r="D84" s="8">
        <v>2023</v>
      </c>
      <c r="E84" s="15">
        <v>6</v>
      </c>
      <c r="I84" s="15">
        <f t="shared" si="1"/>
        <v>6</v>
      </c>
      <c r="J84" s="15"/>
      <c r="K84"/>
      <c r="L84"/>
      <c r="M84"/>
      <c r="N84"/>
    </row>
    <row r="85" spans="2:14" x14ac:dyDescent="0.25">
      <c r="B85" s="8" t="s">
        <v>2</v>
      </c>
      <c r="C85" s="8" t="s">
        <v>47</v>
      </c>
      <c r="D85" s="8">
        <v>2023</v>
      </c>
      <c r="E85" s="15">
        <v>1</v>
      </c>
      <c r="I85" s="15">
        <f t="shared" si="1"/>
        <v>1</v>
      </c>
      <c r="J85" s="15"/>
      <c r="K85"/>
      <c r="L85"/>
      <c r="M85"/>
      <c r="N85"/>
    </row>
    <row r="86" spans="2:14" x14ac:dyDescent="0.25">
      <c r="B86" s="8" t="s">
        <v>3</v>
      </c>
      <c r="C86" s="8" t="s">
        <v>47</v>
      </c>
      <c r="D86" s="8">
        <v>2023</v>
      </c>
      <c r="E86" s="15">
        <v>4</v>
      </c>
      <c r="F86" s="15">
        <v>1</v>
      </c>
      <c r="I86" s="15">
        <f t="shared" si="1"/>
        <v>5</v>
      </c>
      <c r="J86" s="15"/>
      <c r="K86"/>
      <c r="L86"/>
      <c r="M86"/>
      <c r="N86"/>
    </row>
    <row r="87" spans="2:14" x14ac:dyDescent="0.25">
      <c r="B87" s="8" t="s">
        <v>4</v>
      </c>
      <c r="C87" s="8" t="s">
        <v>47</v>
      </c>
      <c r="D87" s="8">
        <v>2023</v>
      </c>
      <c r="E87" s="15">
        <v>1</v>
      </c>
      <c r="F87" s="15">
        <v>7</v>
      </c>
      <c r="G87" s="15">
        <v>4</v>
      </c>
      <c r="I87" s="15">
        <f t="shared" si="1"/>
        <v>12</v>
      </c>
      <c r="J87" s="15"/>
      <c r="K87"/>
      <c r="L87"/>
      <c r="M87"/>
      <c r="N87"/>
    </row>
    <row r="88" spans="2:14" x14ac:dyDescent="0.25">
      <c r="B88" s="8" t="s">
        <v>5</v>
      </c>
      <c r="C88" s="8" t="s">
        <v>47</v>
      </c>
      <c r="D88" s="8">
        <v>2023</v>
      </c>
      <c r="E88" s="15">
        <v>3</v>
      </c>
      <c r="I88" s="15">
        <f t="shared" si="1"/>
        <v>3</v>
      </c>
      <c r="J88" s="15"/>
      <c r="K88"/>
      <c r="L88"/>
      <c r="M88"/>
      <c r="N88"/>
    </row>
    <row r="89" spans="2:14" x14ac:dyDescent="0.25">
      <c r="B89" s="8" t="s">
        <v>6</v>
      </c>
      <c r="C89" s="8" t="s">
        <v>47</v>
      </c>
      <c r="D89" s="8">
        <v>2023</v>
      </c>
      <c r="E89" s="15">
        <v>1</v>
      </c>
      <c r="I89" s="15">
        <f t="shared" si="1"/>
        <v>1</v>
      </c>
      <c r="J89" s="15"/>
      <c r="K89"/>
      <c r="L89"/>
      <c r="M89"/>
      <c r="N89"/>
    </row>
    <row r="90" spans="2:14" x14ac:dyDescent="0.25">
      <c r="B90" s="8" t="s">
        <v>7</v>
      </c>
      <c r="C90" s="8" t="s">
        <v>47</v>
      </c>
      <c r="D90" s="8">
        <v>2023</v>
      </c>
      <c r="E90" s="15">
        <v>1</v>
      </c>
      <c r="G90" s="15">
        <v>1</v>
      </c>
      <c r="I90" s="15">
        <f t="shared" si="1"/>
        <v>2</v>
      </c>
      <c r="J90" s="15"/>
      <c r="K90"/>
      <c r="L90"/>
      <c r="M90"/>
      <c r="N90"/>
    </row>
    <row r="91" spans="2:14" x14ac:dyDescent="0.25">
      <c r="B91" s="8" t="s">
        <v>0</v>
      </c>
      <c r="C91" s="8" t="s">
        <v>48</v>
      </c>
      <c r="D91" s="8">
        <v>2023</v>
      </c>
      <c r="E91" s="15">
        <v>56</v>
      </c>
      <c r="F91" s="15">
        <v>1</v>
      </c>
      <c r="G91" s="15">
        <v>8</v>
      </c>
      <c r="I91" s="15">
        <f t="shared" si="1"/>
        <v>65</v>
      </c>
      <c r="J91" s="15"/>
      <c r="K91"/>
      <c r="L91"/>
      <c r="M91"/>
      <c r="N91"/>
    </row>
    <row r="92" spans="2:14" x14ac:dyDescent="0.25">
      <c r="B92" s="8" t="s">
        <v>1</v>
      </c>
      <c r="C92" s="8" t="s">
        <v>48</v>
      </c>
      <c r="D92" s="8">
        <v>2023</v>
      </c>
      <c r="E92" s="15">
        <v>11</v>
      </c>
      <c r="F92" s="15">
        <v>1</v>
      </c>
      <c r="H92" s="15">
        <v>1</v>
      </c>
      <c r="I92" s="15">
        <f t="shared" si="1"/>
        <v>13</v>
      </c>
      <c r="J92" s="15"/>
      <c r="K92"/>
      <c r="L92"/>
      <c r="M92"/>
      <c r="N92"/>
    </row>
    <row r="93" spans="2:14" x14ac:dyDescent="0.25">
      <c r="B93" s="8" t="s">
        <v>2</v>
      </c>
      <c r="C93" s="8" t="s">
        <v>48</v>
      </c>
      <c r="D93" s="8">
        <v>2023</v>
      </c>
      <c r="G93" s="15">
        <v>2</v>
      </c>
      <c r="I93" s="15">
        <f t="shared" si="1"/>
        <v>2</v>
      </c>
      <c r="J93" s="15"/>
    </row>
    <row r="94" spans="2:14" x14ac:dyDescent="0.25">
      <c r="B94" s="8" t="s">
        <v>3</v>
      </c>
      <c r="C94" s="8" t="s">
        <v>48</v>
      </c>
      <c r="D94" s="8">
        <v>2023</v>
      </c>
      <c r="E94" s="15">
        <v>9</v>
      </c>
      <c r="F94" s="15">
        <v>24</v>
      </c>
      <c r="G94" s="15">
        <v>12</v>
      </c>
      <c r="H94" s="15">
        <v>1</v>
      </c>
      <c r="I94" s="15">
        <f t="shared" si="1"/>
        <v>46</v>
      </c>
      <c r="J94" s="15"/>
    </row>
    <row r="95" spans="2:14" x14ac:dyDescent="0.25">
      <c r="B95" s="8" t="s">
        <v>4</v>
      </c>
      <c r="C95" s="8" t="s">
        <v>48</v>
      </c>
      <c r="D95" s="8">
        <v>2023</v>
      </c>
      <c r="E95" s="15">
        <v>2</v>
      </c>
      <c r="F95" s="15">
        <v>44</v>
      </c>
      <c r="G95" s="15">
        <v>107</v>
      </c>
      <c r="H95" s="15">
        <v>6</v>
      </c>
      <c r="I95" s="15">
        <f t="shared" si="1"/>
        <v>159</v>
      </c>
      <c r="J95" s="15"/>
    </row>
    <row r="96" spans="2:14" x14ac:dyDescent="0.25">
      <c r="B96" s="8" t="s">
        <v>5</v>
      </c>
      <c r="C96" s="8" t="s">
        <v>48</v>
      </c>
      <c r="D96" s="8">
        <v>2023</v>
      </c>
      <c r="E96" s="15">
        <v>5</v>
      </c>
      <c r="F96" s="15">
        <v>7</v>
      </c>
      <c r="G96" s="15">
        <v>3</v>
      </c>
      <c r="I96" s="15">
        <f t="shared" si="1"/>
        <v>15</v>
      </c>
      <c r="J96" s="15"/>
    </row>
    <row r="97" spans="2:10" x14ac:dyDescent="0.25">
      <c r="B97" s="8" t="s">
        <v>6</v>
      </c>
      <c r="C97" s="8" t="s">
        <v>48</v>
      </c>
      <c r="D97" s="8">
        <v>2023</v>
      </c>
      <c r="E97" s="15">
        <v>21</v>
      </c>
      <c r="F97" s="15">
        <v>5</v>
      </c>
      <c r="G97" s="15">
        <v>12</v>
      </c>
      <c r="I97" s="15">
        <f t="shared" si="1"/>
        <v>38</v>
      </c>
      <c r="J97" s="15"/>
    </row>
    <row r="98" spans="2:10" x14ac:dyDescent="0.25">
      <c r="B98" s="8" t="s">
        <v>7</v>
      </c>
      <c r="C98" s="8" t="s">
        <v>48</v>
      </c>
      <c r="D98" s="8">
        <v>2023</v>
      </c>
      <c r="E98" s="15">
        <v>4</v>
      </c>
      <c r="F98" s="15">
        <v>13</v>
      </c>
      <c r="G98" s="15">
        <v>22</v>
      </c>
      <c r="I98" s="15">
        <f t="shared" si="1"/>
        <v>39</v>
      </c>
      <c r="J98" s="15"/>
    </row>
    <row r="99" spans="2:10" x14ac:dyDescent="0.25">
      <c r="B99" s="8" t="s">
        <v>0</v>
      </c>
      <c r="C99" s="8" t="s">
        <v>49</v>
      </c>
      <c r="D99" s="8">
        <v>2023</v>
      </c>
      <c r="E99" s="15">
        <v>78</v>
      </c>
      <c r="F99" s="15">
        <v>49</v>
      </c>
      <c r="G99" s="15">
        <v>99</v>
      </c>
      <c r="H99" s="15">
        <v>3</v>
      </c>
      <c r="I99" s="15">
        <f t="shared" si="1"/>
        <v>229</v>
      </c>
      <c r="J99" s="15"/>
    </row>
    <row r="100" spans="2:10" x14ac:dyDescent="0.25">
      <c r="B100" s="8" t="s">
        <v>1</v>
      </c>
      <c r="C100" s="8" t="s">
        <v>49</v>
      </c>
      <c r="D100" s="8">
        <v>2023</v>
      </c>
      <c r="E100" s="15">
        <v>14</v>
      </c>
      <c r="G100" s="15">
        <v>4</v>
      </c>
      <c r="I100" s="15">
        <f t="shared" si="1"/>
        <v>18</v>
      </c>
      <c r="J100" s="15"/>
    </row>
    <row r="101" spans="2:10" x14ac:dyDescent="0.25">
      <c r="B101" s="8" t="s">
        <v>2</v>
      </c>
      <c r="C101" s="8" t="s">
        <v>49</v>
      </c>
      <c r="D101" s="8">
        <v>2023</v>
      </c>
      <c r="E101" s="15">
        <v>4</v>
      </c>
      <c r="F101" s="15">
        <v>4</v>
      </c>
      <c r="G101" s="15">
        <v>7</v>
      </c>
      <c r="I101" s="15">
        <f t="shared" si="1"/>
        <v>15</v>
      </c>
      <c r="J101" s="15"/>
    </row>
    <row r="102" spans="2:10" x14ac:dyDescent="0.25">
      <c r="B102" s="8" t="s">
        <v>3</v>
      </c>
      <c r="C102" s="8" t="s">
        <v>49</v>
      </c>
      <c r="D102" s="8">
        <v>2023</v>
      </c>
      <c r="E102" s="15">
        <v>42</v>
      </c>
      <c r="F102" s="15">
        <v>55</v>
      </c>
      <c r="G102" s="15">
        <v>45</v>
      </c>
      <c r="I102" s="15">
        <f t="shared" si="1"/>
        <v>142</v>
      </c>
      <c r="J102" s="15"/>
    </row>
    <row r="103" spans="2:10" x14ac:dyDescent="0.25">
      <c r="B103" s="8" t="s">
        <v>4</v>
      </c>
      <c r="C103" s="8" t="s">
        <v>49</v>
      </c>
      <c r="D103" s="8">
        <v>2023</v>
      </c>
      <c r="E103" s="15">
        <v>2</v>
      </c>
      <c r="F103" s="15">
        <v>81</v>
      </c>
      <c r="G103" s="15">
        <v>728</v>
      </c>
      <c r="H103" s="15">
        <v>11</v>
      </c>
      <c r="I103" s="15">
        <f t="shared" si="1"/>
        <v>822</v>
      </c>
      <c r="J103" s="15"/>
    </row>
    <row r="104" spans="2:10" x14ac:dyDescent="0.25">
      <c r="B104" s="8" t="s">
        <v>5</v>
      </c>
      <c r="C104" s="8" t="s">
        <v>49</v>
      </c>
      <c r="D104" s="8">
        <v>2023</v>
      </c>
      <c r="E104" s="15">
        <v>10</v>
      </c>
      <c r="F104" s="15">
        <v>15</v>
      </c>
      <c r="G104" s="15">
        <v>8</v>
      </c>
      <c r="I104" s="15">
        <f t="shared" si="1"/>
        <v>33</v>
      </c>
      <c r="J104" s="15"/>
    </row>
    <row r="105" spans="2:10" x14ac:dyDescent="0.25">
      <c r="B105" s="8" t="s">
        <v>6</v>
      </c>
      <c r="C105" s="8" t="s">
        <v>49</v>
      </c>
      <c r="D105" s="8">
        <v>2023</v>
      </c>
      <c r="E105" s="15">
        <v>53</v>
      </c>
      <c r="F105" s="15">
        <v>39</v>
      </c>
      <c r="G105" s="15">
        <v>86</v>
      </c>
      <c r="I105" s="15">
        <f t="shared" si="1"/>
        <v>178</v>
      </c>
      <c r="J105" s="15"/>
    </row>
    <row r="106" spans="2:10" x14ac:dyDescent="0.25">
      <c r="B106" s="8" t="s">
        <v>7</v>
      </c>
      <c r="C106" s="8" t="s">
        <v>49</v>
      </c>
      <c r="D106" s="8">
        <v>2023</v>
      </c>
      <c r="E106" s="15">
        <v>29</v>
      </c>
      <c r="F106" s="15">
        <v>61</v>
      </c>
      <c r="G106" s="15">
        <v>178</v>
      </c>
      <c r="I106" s="15">
        <f t="shared" si="1"/>
        <v>268</v>
      </c>
      <c r="J106" s="15"/>
    </row>
    <row r="107" spans="2:10" x14ac:dyDescent="0.25">
      <c r="B107" s="8" t="s">
        <v>0</v>
      </c>
      <c r="C107" s="8" t="s">
        <v>50</v>
      </c>
      <c r="D107" s="8">
        <v>2023</v>
      </c>
      <c r="E107" s="15">
        <v>102</v>
      </c>
      <c r="F107" s="15">
        <v>74</v>
      </c>
      <c r="G107" s="15">
        <v>184</v>
      </c>
      <c r="H107" s="15">
        <v>4</v>
      </c>
      <c r="I107" s="15">
        <f t="shared" si="1"/>
        <v>364</v>
      </c>
      <c r="J107" s="15"/>
    </row>
    <row r="108" spans="2:10" x14ac:dyDescent="0.25">
      <c r="B108" s="8" t="s">
        <v>1</v>
      </c>
      <c r="C108" s="8" t="s">
        <v>50</v>
      </c>
      <c r="D108" s="8">
        <v>2023</v>
      </c>
      <c r="E108" s="15">
        <v>14</v>
      </c>
      <c r="F108" s="15">
        <v>14</v>
      </c>
      <c r="G108" s="15">
        <v>18</v>
      </c>
      <c r="I108" s="15">
        <f t="shared" si="1"/>
        <v>46</v>
      </c>
      <c r="J108" s="15"/>
    </row>
    <row r="109" spans="2:10" x14ac:dyDescent="0.25">
      <c r="B109" s="8" t="s">
        <v>2</v>
      </c>
      <c r="C109" s="8" t="s">
        <v>50</v>
      </c>
      <c r="D109" s="8">
        <v>2023</v>
      </c>
      <c r="E109" s="15">
        <v>17</v>
      </c>
      <c r="F109" s="15">
        <v>29</v>
      </c>
      <c r="G109" s="15">
        <v>52</v>
      </c>
      <c r="I109" s="15">
        <f t="shared" si="1"/>
        <v>98</v>
      </c>
      <c r="J109" s="15"/>
    </row>
    <row r="110" spans="2:10" x14ac:dyDescent="0.25">
      <c r="B110" s="8" t="s">
        <v>3</v>
      </c>
      <c r="C110" s="8" t="s">
        <v>50</v>
      </c>
      <c r="D110" s="8">
        <v>2023</v>
      </c>
      <c r="E110" s="15">
        <v>75</v>
      </c>
      <c r="F110" s="15">
        <v>103</v>
      </c>
      <c r="G110" s="15">
        <v>165</v>
      </c>
      <c r="I110" s="15">
        <f t="shared" si="1"/>
        <v>343</v>
      </c>
      <c r="J110" s="15"/>
    </row>
    <row r="111" spans="2:10" x14ac:dyDescent="0.25">
      <c r="B111" s="8" t="s">
        <v>4</v>
      </c>
      <c r="C111" s="8" t="s">
        <v>50</v>
      </c>
      <c r="D111" s="8">
        <v>2023</v>
      </c>
      <c r="E111" s="15">
        <v>9</v>
      </c>
      <c r="F111" s="15">
        <v>250</v>
      </c>
      <c r="G111" s="15">
        <v>1537</v>
      </c>
      <c r="H111" s="15">
        <v>40</v>
      </c>
      <c r="I111" s="15">
        <f t="shared" si="1"/>
        <v>1836</v>
      </c>
      <c r="J111" s="15"/>
    </row>
    <row r="112" spans="2:10" x14ac:dyDescent="0.25">
      <c r="B112" s="8" t="s">
        <v>5</v>
      </c>
      <c r="C112" s="8" t="s">
        <v>50</v>
      </c>
      <c r="D112" s="8">
        <v>2023</v>
      </c>
      <c r="E112" s="15">
        <v>6</v>
      </c>
      <c r="F112" s="15">
        <v>7</v>
      </c>
      <c r="G112" s="15">
        <v>53</v>
      </c>
      <c r="I112" s="15">
        <f t="shared" si="1"/>
        <v>66</v>
      </c>
      <c r="J112" s="15"/>
    </row>
    <row r="113" spans="2:10" x14ac:dyDescent="0.25">
      <c r="B113" s="8" t="s">
        <v>6</v>
      </c>
      <c r="C113" s="8" t="s">
        <v>50</v>
      </c>
      <c r="D113" s="8">
        <v>2023</v>
      </c>
      <c r="E113" s="15">
        <v>95</v>
      </c>
      <c r="F113" s="15">
        <v>76</v>
      </c>
      <c r="G113" s="15">
        <v>195</v>
      </c>
      <c r="H113" s="15">
        <v>5</v>
      </c>
      <c r="I113" s="15">
        <f t="shared" si="1"/>
        <v>371</v>
      </c>
      <c r="J113" s="15"/>
    </row>
    <row r="114" spans="2:10" x14ac:dyDescent="0.25">
      <c r="B114" s="8" t="s">
        <v>7</v>
      </c>
      <c r="C114" s="8" t="s">
        <v>50</v>
      </c>
      <c r="D114" s="8">
        <v>2023</v>
      </c>
      <c r="E114" s="15">
        <v>40</v>
      </c>
      <c r="F114" s="15">
        <v>174</v>
      </c>
      <c r="G114" s="15">
        <v>453</v>
      </c>
      <c r="H114" s="15">
        <v>4</v>
      </c>
      <c r="I114" s="15">
        <f t="shared" si="1"/>
        <v>671</v>
      </c>
      <c r="J114" s="15"/>
    </row>
    <row r="115" spans="2:10" x14ac:dyDescent="0.25">
      <c r="B115" s="8" t="s">
        <v>0</v>
      </c>
      <c r="C115" s="8" t="s">
        <v>51</v>
      </c>
      <c r="D115" s="8">
        <v>2023</v>
      </c>
      <c r="E115" s="15">
        <v>158</v>
      </c>
      <c r="F115" s="15">
        <v>238</v>
      </c>
      <c r="G115" s="15">
        <v>513</v>
      </c>
      <c r="H115" s="15">
        <v>4</v>
      </c>
      <c r="I115" s="15">
        <f t="shared" si="1"/>
        <v>913</v>
      </c>
      <c r="J115" s="15"/>
    </row>
    <row r="116" spans="2:10" x14ac:dyDescent="0.25">
      <c r="B116" s="8" t="s">
        <v>1</v>
      </c>
      <c r="C116" s="8" t="s">
        <v>51</v>
      </c>
      <c r="D116" s="8">
        <v>2023</v>
      </c>
      <c r="E116" s="15">
        <v>26</v>
      </c>
      <c r="F116" s="15">
        <v>19</v>
      </c>
      <c r="G116" s="15">
        <v>80</v>
      </c>
      <c r="I116" s="15">
        <f t="shared" si="1"/>
        <v>125</v>
      </c>
      <c r="J116" s="15"/>
    </row>
    <row r="117" spans="2:10" x14ac:dyDescent="0.25">
      <c r="B117" s="8" t="s">
        <v>2</v>
      </c>
      <c r="C117" s="8" t="s">
        <v>51</v>
      </c>
      <c r="D117" s="8">
        <v>2023</v>
      </c>
      <c r="E117" s="15">
        <v>43</v>
      </c>
      <c r="F117" s="15">
        <v>74</v>
      </c>
      <c r="G117" s="15">
        <v>128</v>
      </c>
      <c r="I117" s="15">
        <f t="shared" si="1"/>
        <v>245</v>
      </c>
      <c r="J117" s="15"/>
    </row>
    <row r="118" spans="2:10" x14ac:dyDescent="0.25">
      <c r="B118" s="8" t="s">
        <v>3</v>
      </c>
      <c r="C118" s="8" t="s">
        <v>51</v>
      </c>
      <c r="D118" s="8">
        <v>2023</v>
      </c>
      <c r="E118" s="15">
        <v>129</v>
      </c>
      <c r="F118" s="15">
        <v>287</v>
      </c>
      <c r="G118" s="15">
        <v>518</v>
      </c>
      <c r="H118" s="15">
        <v>2</v>
      </c>
      <c r="I118" s="15">
        <f t="shared" si="1"/>
        <v>936</v>
      </c>
      <c r="J118" s="15"/>
    </row>
    <row r="119" spans="2:10" x14ac:dyDescent="0.25">
      <c r="B119" s="8" t="s">
        <v>4</v>
      </c>
      <c r="C119" s="8" t="s">
        <v>51</v>
      </c>
      <c r="D119" s="8">
        <v>2023</v>
      </c>
      <c r="F119" s="15">
        <v>426</v>
      </c>
      <c r="G119" s="15">
        <v>2942</v>
      </c>
      <c r="H119" s="15">
        <v>46</v>
      </c>
      <c r="I119" s="15">
        <f t="shared" si="1"/>
        <v>3414</v>
      </c>
      <c r="J119" s="15"/>
    </row>
    <row r="120" spans="2:10" x14ac:dyDescent="0.25">
      <c r="B120" s="8" t="s">
        <v>5</v>
      </c>
      <c r="C120" s="8" t="s">
        <v>51</v>
      </c>
      <c r="D120" s="8">
        <v>2023</v>
      </c>
      <c r="E120" s="15">
        <v>28</v>
      </c>
      <c r="F120" s="15">
        <v>53</v>
      </c>
      <c r="G120" s="15">
        <v>81</v>
      </c>
      <c r="H120" s="15">
        <v>3</v>
      </c>
      <c r="I120" s="15">
        <f t="shared" si="1"/>
        <v>165</v>
      </c>
      <c r="J120" s="15"/>
    </row>
    <row r="121" spans="2:10" x14ac:dyDescent="0.25">
      <c r="B121" s="8" t="s">
        <v>6</v>
      </c>
      <c r="C121" s="8" t="s">
        <v>51</v>
      </c>
      <c r="D121" s="8">
        <v>2023</v>
      </c>
      <c r="E121" s="15">
        <v>198</v>
      </c>
      <c r="F121" s="15">
        <v>318</v>
      </c>
      <c r="G121" s="15">
        <v>659</v>
      </c>
      <c r="H121" s="15">
        <v>5</v>
      </c>
      <c r="I121" s="15">
        <f t="shared" si="1"/>
        <v>1180</v>
      </c>
      <c r="J121" s="15"/>
    </row>
    <row r="122" spans="2:10" x14ac:dyDescent="0.25">
      <c r="B122" s="8" t="s">
        <v>7</v>
      </c>
      <c r="C122" s="8" t="s">
        <v>51</v>
      </c>
      <c r="D122" s="8">
        <v>2023</v>
      </c>
      <c r="E122" s="15">
        <v>92</v>
      </c>
      <c r="F122" s="15">
        <v>645</v>
      </c>
      <c r="G122" s="15">
        <v>1492</v>
      </c>
      <c r="H122" s="15">
        <v>13</v>
      </c>
      <c r="I122" s="15">
        <f t="shared" si="1"/>
        <v>2242</v>
      </c>
      <c r="J122" s="15"/>
    </row>
    <row r="123" spans="2:10" x14ac:dyDescent="0.25">
      <c r="B123" s="8" t="s">
        <v>0</v>
      </c>
      <c r="C123" s="8" t="s">
        <v>52</v>
      </c>
      <c r="D123" s="8">
        <v>2023</v>
      </c>
      <c r="E123" s="15">
        <v>110</v>
      </c>
      <c r="F123" s="15">
        <v>113</v>
      </c>
      <c r="G123" s="15">
        <v>211</v>
      </c>
      <c r="H123" s="15">
        <v>4</v>
      </c>
      <c r="I123" s="15">
        <f t="shared" si="1"/>
        <v>438</v>
      </c>
      <c r="J123" s="15"/>
    </row>
    <row r="124" spans="2:10" x14ac:dyDescent="0.25">
      <c r="B124" s="8" t="s">
        <v>1</v>
      </c>
      <c r="C124" s="8" t="s">
        <v>52</v>
      </c>
      <c r="D124" s="8">
        <v>2023</v>
      </c>
      <c r="E124" s="15">
        <v>24</v>
      </c>
      <c r="F124" s="15">
        <v>6</v>
      </c>
      <c r="G124" s="15">
        <v>18</v>
      </c>
      <c r="I124" s="15">
        <f t="shared" si="1"/>
        <v>48</v>
      </c>
      <c r="J124" s="15"/>
    </row>
    <row r="125" spans="2:10" x14ac:dyDescent="0.25">
      <c r="B125" s="8" t="s">
        <v>2</v>
      </c>
      <c r="C125" s="8" t="s">
        <v>52</v>
      </c>
      <c r="D125" s="8">
        <v>2023</v>
      </c>
      <c r="E125" s="15">
        <v>81</v>
      </c>
      <c r="F125" s="15">
        <v>48</v>
      </c>
      <c r="G125" s="15">
        <v>95</v>
      </c>
      <c r="I125" s="15">
        <f t="shared" si="1"/>
        <v>224</v>
      </c>
      <c r="J125" s="15"/>
    </row>
    <row r="126" spans="2:10" x14ac:dyDescent="0.25">
      <c r="B126" s="8" t="s">
        <v>3</v>
      </c>
      <c r="C126" s="8" t="s">
        <v>52</v>
      </c>
      <c r="D126" s="8">
        <v>2023</v>
      </c>
      <c r="E126" s="15">
        <v>99</v>
      </c>
      <c r="F126" s="15">
        <v>115</v>
      </c>
      <c r="G126" s="15">
        <v>213</v>
      </c>
      <c r="H126" s="15">
        <v>3</v>
      </c>
      <c r="I126" s="15">
        <f t="shared" si="1"/>
        <v>430</v>
      </c>
      <c r="J126" s="15"/>
    </row>
    <row r="127" spans="2:10" x14ac:dyDescent="0.25">
      <c r="B127" s="8" t="s">
        <v>4</v>
      </c>
      <c r="C127" s="8" t="s">
        <v>52</v>
      </c>
      <c r="D127" s="8">
        <v>2023</v>
      </c>
      <c r="F127" s="15">
        <v>395</v>
      </c>
      <c r="G127" s="15">
        <v>2080</v>
      </c>
      <c r="H127" s="15">
        <v>73</v>
      </c>
      <c r="I127" s="15">
        <f t="shared" si="1"/>
        <v>2548</v>
      </c>
      <c r="J127" s="15"/>
    </row>
    <row r="128" spans="2:10" x14ac:dyDescent="0.25">
      <c r="B128" s="8" t="s">
        <v>5</v>
      </c>
      <c r="C128" s="8" t="s">
        <v>52</v>
      </c>
      <c r="D128" s="8">
        <v>2023</v>
      </c>
      <c r="E128" s="15">
        <v>22</v>
      </c>
      <c r="F128" s="15">
        <v>26</v>
      </c>
      <c r="G128" s="15">
        <v>51</v>
      </c>
      <c r="H128" s="15">
        <v>1</v>
      </c>
      <c r="I128" s="15">
        <f t="shared" si="1"/>
        <v>100</v>
      </c>
      <c r="J128" s="15"/>
    </row>
    <row r="129" spans="2:10" x14ac:dyDescent="0.25">
      <c r="B129" s="8" t="s">
        <v>6</v>
      </c>
      <c r="C129" s="8" t="s">
        <v>52</v>
      </c>
      <c r="D129" s="8">
        <v>2023</v>
      </c>
      <c r="E129" s="15">
        <v>215</v>
      </c>
      <c r="F129" s="15">
        <v>77</v>
      </c>
      <c r="G129" s="15">
        <v>250</v>
      </c>
      <c r="H129" s="15">
        <v>2</v>
      </c>
      <c r="I129" s="15">
        <f t="shared" si="1"/>
        <v>544</v>
      </c>
      <c r="J129" s="15"/>
    </row>
    <row r="130" spans="2:10" x14ac:dyDescent="0.25">
      <c r="B130" s="8" t="s">
        <v>7</v>
      </c>
      <c r="C130" s="8" t="s">
        <v>52</v>
      </c>
      <c r="D130" s="8">
        <v>2023</v>
      </c>
      <c r="E130" s="15">
        <v>39</v>
      </c>
      <c r="F130" s="15">
        <v>279</v>
      </c>
      <c r="G130" s="15">
        <v>608</v>
      </c>
      <c r="H130" s="15">
        <v>4</v>
      </c>
      <c r="I130" s="15">
        <f t="shared" si="1"/>
        <v>930</v>
      </c>
      <c r="J130" s="15"/>
    </row>
  </sheetData>
  <autoFilter ref="B2:I130" xr:uid="{95D67716-F075-404B-A36A-F354F5D61362}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CE02-F0F4-4BB7-AB2D-4C93A7B95C50}">
  <dimension ref="A1:K55"/>
  <sheetViews>
    <sheetView showGridLines="0" workbookViewId="0">
      <selection activeCell="C24" sqref="C24"/>
    </sheetView>
  </sheetViews>
  <sheetFormatPr defaultRowHeight="15" x14ac:dyDescent="0.25"/>
  <cols>
    <col min="2" max="11" width="12.7109375" customWidth="1"/>
  </cols>
  <sheetData>
    <row r="1" spans="1:11" x14ac:dyDescent="0.25">
      <c r="A1" t="s">
        <v>18</v>
      </c>
      <c r="K1" s="1"/>
    </row>
    <row r="2" spans="1:1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11" x14ac:dyDescent="0.25">
      <c r="B3" s="2" t="s">
        <v>9</v>
      </c>
      <c r="C3" s="15">
        <v>15</v>
      </c>
      <c r="D3" s="15">
        <v>1</v>
      </c>
      <c r="E3" s="15"/>
      <c r="F3" s="15"/>
      <c r="G3" s="15"/>
      <c r="H3" s="15"/>
      <c r="I3" s="15">
        <v>6</v>
      </c>
      <c r="J3" s="16"/>
      <c r="K3" s="9">
        <f t="shared" ref="K3:K6" si="0">SUM(C3:J3)</f>
        <v>22</v>
      </c>
    </row>
    <row r="4" spans="1:11" x14ac:dyDescent="0.25">
      <c r="B4" s="2" t="s">
        <v>10</v>
      </c>
      <c r="C4" s="15"/>
      <c r="D4" s="15"/>
      <c r="E4" s="15"/>
      <c r="F4" s="15"/>
      <c r="G4" s="15">
        <v>5</v>
      </c>
      <c r="H4" s="15"/>
      <c r="I4" s="15"/>
      <c r="J4" s="16"/>
      <c r="K4" s="9">
        <f t="shared" si="0"/>
        <v>5</v>
      </c>
    </row>
    <row r="5" spans="1:11" x14ac:dyDescent="0.25">
      <c r="B5" s="3" t="s">
        <v>11</v>
      </c>
      <c r="C5" s="15">
        <v>1</v>
      </c>
      <c r="D5" s="15"/>
      <c r="E5" s="15"/>
      <c r="F5" s="15">
        <v>1</v>
      </c>
      <c r="G5" s="15">
        <v>2</v>
      </c>
      <c r="H5" s="15"/>
      <c r="I5" s="15"/>
      <c r="J5" s="16">
        <v>1</v>
      </c>
      <c r="K5" s="9">
        <f t="shared" si="0"/>
        <v>5</v>
      </c>
    </row>
    <row r="6" spans="1:11" x14ac:dyDescent="0.25">
      <c r="B6" s="2" t="s">
        <v>12</v>
      </c>
      <c r="C6" s="15"/>
      <c r="D6" s="15"/>
      <c r="E6" s="15"/>
      <c r="F6" s="15"/>
      <c r="G6" s="15"/>
      <c r="H6" s="15"/>
      <c r="I6" s="15"/>
      <c r="J6" s="16"/>
      <c r="K6" s="9">
        <f t="shared" si="0"/>
        <v>0</v>
      </c>
    </row>
    <row r="7" spans="1:11" x14ac:dyDescent="0.25">
      <c r="B7" s="10" t="s">
        <v>8</v>
      </c>
      <c r="C7" s="14">
        <f t="shared" ref="C7:J7" si="1">SUM(C3:C6)</f>
        <v>16</v>
      </c>
      <c r="D7" s="14">
        <f t="shared" si="1"/>
        <v>1</v>
      </c>
      <c r="E7" s="14">
        <f t="shared" si="1"/>
        <v>0</v>
      </c>
      <c r="F7" s="14">
        <f t="shared" si="1"/>
        <v>1</v>
      </c>
      <c r="G7" s="14">
        <f t="shared" si="1"/>
        <v>7</v>
      </c>
      <c r="H7" s="14">
        <f t="shared" si="1"/>
        <v>0</v>
      </c>
      <c r="I7" s="14">
        <f t="shared" si="1"/>
        <v>6</v>
      </c>
      <c r="J7" s="13">
        <f t="shared" si="1"/>
        <v>1</v>
      </c>
      <c r="K7" s="13">
        <f>SUM(C7:J7)</f>
        <v>32</v>
      </c>
    </row>
    <row r="8" spans="1:11" x14ac:dyDescent="0.25">
      <c r="C8" s="1"/>
      <c r="D8" s="1"/>
      <c r="E8" s="1"/>
      <c r="F8" s="1"/>
      <c r="G8" s="1"/>
      <c r="H8" s="1"/>
      <c r="I8" s="1"/>
      <c r="J8" s="1"/>
    </row>
    <row r="9" spans="1:1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11" x14ac:dyDescent="0.25">
      <c r="B10" s="2" t="s">
        <v>9</v>
      </c>
      <c r="C10" s="15">
        <v>11</v>
      </c>
      <c r="D10" s="15">
        <v>3</v>
      </c>
      <c r="E10" s="15">
        <v>2</v>
      </c>
      <c r="F10" s="15">
        <v>1</v>
      </c>
      <c r="G10" s="15"/>
      <c r="H10" s="15">
        <v>2</v>
      </c>
      <c r="I10" s="15">
        <v>1</v>
      </c>
      <c r="J10" s="16"/>
      <c r="K10" s="9">
        <f t="shared" ref="K10:K13" si="2">SUM(C10:J10)</f>
        <v>20</v>
      </c>
    </row>
    <row r="11" spans="1:11" x14ac:dyDescent="0.25">
      <c r="B11" s="2" t="s">
        <v>10</v>
      </c>
      <c r="C11" s="15">
        <v>1</v>
      </c>
      <c r="D11" s="15"/>
      <c r="E11" s="15"/>
      <c r="F11" s="15">
        <v>1</v>
      </c>
      <c r="G11" s="15">
        <v>1</v>
      </c>
      <c r="H11" s="15"/>
      <c r="I11" s="15"/>
      <c r="J11" s="16"/>
      <c r="K11" s="9">
        <f t="shared" si="2"/>
        <v>3</v>
      </c>
    </row>
    <row r="12" spans="1:11" x14ac:dyDescent="0.25">
      <c r="B12" s="3" t="s">
        <v>11</v>
      </c>
      <c r="C12" s="15"/>
      <c r="D12" s="15"/>
      <c r="E12" s="15"/>
      <c r="F12" s="15"/>
      <c r="G12" s="15"/>
      <c r="H12" s="15"/>
      <c r="I12" s="15"/>
      <c r="J12" s="16">
        <v>2</v>
      </c>
      <c r="K12" s="9">
        <f t="shared" si="2"/>
        <v>2</v>
      </c>
    </row>
    <row r="13" spans="1:11" x14ac:dyDescent="0.25">
      <c r="B13" s="2" t="s">
        <v>12</v>
      </c>
      <c r="C13" s="15"/>
      <c r="D13" s="15"/>
      <c r="E13" s="15"/>
      <c r="F13" s="15"/>
      <c r="G13" s="15"/>
      <c r="H13" s="15"/>
      <c r="I13" s="15"/>
      <c r="J13" s="16"/>
      <c r="K13" s="9">
        <f t="shared" si="2"/>
        <v>0</v>
      </c>
    </row>
    <row r="14" spans="1:11" x14ac:dyDescent="0.25">
      <c r="B14" s="10" t="s">
        <v>8</v>
      </c>
      <c r="C14" s="14">
        <f t="shared" ref="C14:J14" si="3">SUM(C10:C13)</f>
        <v>12</v>
      </c>
      <c r="D14" s="14">
        <f t="shared" si="3"/>
        <v>3</v>
      </c>
      <c r="E14" s="14">
        <f t="shared" si="3"/>
        <v>2</v>
      </c>
      <c r="F14" s="14">
        <f t="shared" si="3"/>
        <v>2</v>
      </c>
      <c r="G14" s="14">
        <f t="shared" si="3"/>
        <v>1</v>
      </c>
      <c r="H14" s="14">
        <f t="shared" si="3"/>
        <v>2</v>
      </c>
      <c r="I14" s="14">
        <f t="shared" si="3"/>
        <v>1</v>
      </c>
      <c r="J14" s="13">
        <f t="shared" si="3"/>
        <v>2</v>
      </c>
      <c r="K14" s="13">
        <f>SUM(C14:J14)</f>
        <v>25</v>
      </c>
    </row>
    <row r="16" spans="1:1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/>
      <c r="D17" s="15">
        <v>2</v>
      </c>
      <c r="E17" s="15"/>
      <c r="F17" s="15">
        <v>1</v>
      </c>
      <c r="G17" s="15"/>
      <c r="H17" s="15">
        <v>3</v>
      </c>
      <c r="I17" s="15">
        <v>1</v>
      </c>
      <c r="J17" s="16"/>
      <c r="K17" s="9">
        <f t="shared" ref="K17:K20" si="4">SUM(C17:J17)</f>
        <v>7</v>
      </c>
    </row>
    <row r="18" spans="2:11" x14ac:dyDescent="0.25">
      <c r="B18" s="2" t="s">
        <v>10</v>
      </c>
      <c r="C18" s="15"/>
      <c r="D18" s="15"/>
      <c r="E18" s="15"/>
      <c r="F18" s="15"/>
      <c r="G18" s="15"/>
      <c r="H18" s="15">
        <v>1</v>
      </c>
      <c r="I18" s="15"/>
      <c r="J18" s="16">
        <v>9</v>
      </c>
      <c r="K18" s="9">
        <f t="shared" si="4"/>
        <v>10</v>
      </c>
    </row>
    <row r="19" spans="2:11" x14ac:dyDescent="0.25">
      <c r="B19" s="3" t="s">
        <v>11</v>
      </c>
      <c r="C19" s="15"/>
      <c r="D19" s="15"/>
      <c r="E19" s="15"/>
      <c r="F19" s="15"/>
      <c r="G19" s="15"/>
      <c r="H19" s="15"/>
      <c r="I19" s="15"/>
      <c r="J19" s="16">
        <v>8</v>
      </c>
      <c r="K19" s="9">
        <f t="shared" si="4"/>
        <v>8</v>
      </c>
    </row>
    <row r="20" spans="2:11" x14ac:dyDescent="0.25">
      <c r="B20" s="2" t="s">
        <v>12</v>
      </c>
      <c r="C20" s="15"/>
      <c r="D20" s="15"/>
      <c r="E20" s="15"/>
      <c r="F20" s="15"/>
      <c r="G20" s="15"/>
      <c r="H20" s="15"/>
      <c r="I20" s="15"/>
      <c r="J20" s="16"/>
      <c r="K20" s="9">
        <f t="shared" si="4"/>
        <v>0</v>
      </c>
    </row>
    <row r="21" spans="2:11" x14ac:dyDescent="0.25">
      <c r="B21" s="10" t="s">
        <v>8</v>
      </c>
      <c r="C21" s="14">
        <f t="shared" ref="C21:J21" si="5">SUM(C17:C20)</f>
        <v>0</v>
      </c>
      <c r="D21" s="14">
        <f t="shared" si="5"/>
        <v>2</v>
      </c>
      <c r="E21" s="14">
        <f t="shared" si="5"/>
        <v>0</v>
      </c>
      <c r="F21" s="14">
        <f t="shared" si="5"/>
        <v>1</v>
      </c>
      <c r="G21" s="14">
        <f t="shared" si="5"/>
        <v>0</v>
      </c>
      <c r="H21" s="14">
        <f t="shared" si="5"/>
        <v>4</v>
      </c>
      <c r="I21" s="14">
        <f t="shared" si="5"/>
        <v>1</v>
      </c>
      <c r="J21" s="13">
        <f t="shared" si="5"/>
        <v>17</v>
      </c>
      <c r="K21" s="13">
        <f>SUM(C21:J21)</f>
        <v>25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v>8</v>
      </c>
      <c r="D24" s="15">
        <v>1</v>
      </c>
      <c r="E24" s="15"/>
      <c r="F24" s="15">
        <v>1</v>
      </c>
      <c r="G24" s="15">
        <v>2</v>
      </c>
      <c r="H24" s="15"/>
      <c r="I24" s="15">
        <v>5</v>
      </c>
      <c r="J24" s="16">
        <v>3</v>
      </c>
      <c r="K24" s="9">
        <f t="shared" ref="K24:K27" si="6">SUM(C24:J24)</f>
        <v>20</v>
      </c>
    </row>
    <row r="25" spans="2:11" x14ac:dyDescent="0.25">
      <c r="B25" s="2" t="s">
        <v>10</v>
      </c>
      <c r="C25" s="15">
        <v>1</v>
      </c>
      <c r="D25" s="15"/>
      <c r="E25" s="15"/>
      <c r="F25" s="15"/>
      <c r="G25" s="15"/>
      <c r="H25" s="15"/>
      <c r="I25" s="15"/>
      <c r="J25" s="16"/>
      <c r="K25" s="9">
        <f t="shared" si="6"/>
        <v>1</v>
      </c>
    </row>
    <row r="26" spans="2:11" x14ac:dyDescent="0.25">
      <c r="B26" s="3" t="s">
        <v>11</v>
      </c>
      <c r="C26" s="15"/>
      <c r="D26" s="15"/>
      <c r="E26" s="15"/>
      <c r="F26" s="15">
        <v>1</v>
      </c>
      <c r="G26" s="15">
        <v>3</v>
      </c>
      <c r="H26" s="15"/>
      <c r="I26" s="15"/>
      <c r="J26" s="16"/>
      <c r="K26" s="9">
        <f t="shared" si="6"/>
        <v>4</v>
      </c>
    </row>
    <row r="27" spans="2:11" x14ac:dyDescent="0.25">
      <c r="B27" s="2" t="s">
        <v>12</v>
      </c>
      <c r="C27" s="15"/>
      <c r="D27" s="15"/>
      <c r="E27" s="15"/>
      <c r="F27" s="15"/>
      <c r="G27" s="15"/>
      <c r="H27" s="15"/>
      <c r="I27" s="15"/>
      <c r="J27" s="16"/>
      <c r="K27" s="9">
        <f t="shared" si="6"/>
        <v>0</v>
      </c>
    </row>
    <row r="28" spans="2:11" x14ac:dyDescent="0.25">
      <c r="B28" s="10" t="s">
        <v>8</v>
      </c>
      <c r="C28" s="14">
        <f t="shared" ref="C28:J28" si="7">SUM(C24:C27)</f>
        <v>9</v>
      </c>
      <c r="D28" s="14">
        <f t="shared" si="7"/>
        <v>1</v>
      </c>
      <c r="E28" s="14">
        <f t="shared" si="7"/>
        <v>0</v>
      </c>
      <c r="F28" s="14">
        <f t="shared" si="7"/>
        <v>2</v>
      </c>
      <c r="G28" s="14">
        <f t="shared" si="7"/>
        <v>5</v>
      </c>
      <c r="H28" s="14">
        <f t="shared" si="7"/>
        <v>0</v>
      </c>
      <c r="I28" s="14">
        <f t="shared" si="7"/>
        <v>5</v>
      </c>
      <c r="J28" s="13">
        <f t="shared" si="7"/>
        <v>3</v>
      </c>
      <c r="K28" s="13">
        <f>SUM(C28:J28)</f>
        <v>25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 t="str">
        <f>IFERROR(-(C21-C28)/C21,"")</f>
        <v/>
      </c>
      <c r="D31" s="17">
        <f t="shared" ref="D31:K31" si="8">IFERROR(-(D21-D28)/D21,"")</f>
        <v>-0.5</v>
      </c>
      <c r="E31" s="17" t="str">
        <f t="shared" si="8"/>
        <v/>
      </c>
      <c r="F31" s="17">
        <f t="shared" si="8"/>
        <v>1</v>
      </c>
      <c r="G31" s="17" t="str">
        <f t="shared" si="8"/>
        <v/>
      </c>
      <c r="H31" s="17">
        <f t="shared" si="8"/>
        <v>-1</v>
      </c>
      <c r="I31" s="17">
        <f t="shared" si="8"/>
        <v>4</v>
      </c>
      <c r="J31" s="18">
        <f t="shared" si="8"/>
        <v>-0.82352941176470584</v>
      </c>
      <c r="K31" s="18">
        <f t="shared" si="8"/>
        <v>0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D896-C763-4B0C-937F-58B7ADE88684}">
  <dimension ref="A1:K55"/>
  <sheetViews>
    <sheetView showGridLines="0" workbookViewId="0">
      <selection activeCell="D24" sqref="D24"/>
    </sheetView>
  </sheetViews>
  <sheetFormatPr defaultRowHeight="15" x14ac:dyDescent="0.25"/>
  <cols>
    <col min="2" max="11" width="12.7109375" customWidth="1"/>
  </cols>
  <sheetData>
    <row r="1" spans="1:11" x14ac:dyDescent="0.25">
      <c r="A1" t="s">
        <v>19</v>
      </c>
      <c r="K1" s="1"/>
    </row>
    <row r="2" spans="1:1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11" x14ac:dyDescent="0.25">
      <c r="B3" s="2" t="s">
        <v>9</v>
      </c>
      <c r="C3" s="15">
        <v>18</v>
      </c>
      <c r="D3" s="15">
        <v>2</v>
      </c>
      <c r="E3" s="15"/>
      <c r="F3" s="15">
        <v>1</v>
      </c>
      <c r="G3" s="15"/>
      <c r="H3" s="15">
        <v>1</v>
      </c>
      <c r="I3" s="15"/>
      <c r="J3" s="16"/>
      <c r="K3" s="9">
        <f t="shared" ref="K3:K6" si="0">SUM(C3:J3)</f>
        <v>22</v>
      </c>
    </row>
    <row r="4" spans="1:11" x14ac:dyDescent="0.25">
      <c r="B4" s="2" t="s">
        <v>10</v>
      </c>
      <c r="C4" s="15">
        <v>1</v>
      </c>
      <c r="D4" s="15"/>
      <c r="E4" s="15"/>
      <c r="F4" s="15">
        <v>30</v>
      </c>
      <c r="G4" s="15">
        <v>8</v>
      </c>
      <c r="H4" s="15"/>
      <c r="I4" s="15"/>
      <c r="J4" s="16"/>
      <c r="K4" s="9">
        <f t="shared" si="0"/>
        <v>39</v>
      </c>
    </row>
    <row r="5" spans="1:11" x14ac:dyDescent="0.25">
      <c r="B5" s="3" t="s">
        <v>11</v>
      </c>
      <c r="C5" s="15"/>
      <c r="D5" s="15"/>
      <c r="E5" s="15"/>
      <c r="F5" s="15">
        <v>1</v>
      </c>
      <c r="G5" s="15">
        <v>4</v>
      </c>
      <c r="H5" s="15"/>
      <c r="I5" s="15"/>
      <c r="J5" s="16"/>
      <c r="K5" s="9">
        <f t="shared" si="0"/>
        <v>5</v>
      </c>
    </row>
    <row r="6" spans="1:11" x14ac:dyDescent="0.25">
      <c r="B6" s="2" t="s">
        <v>12</v>
      </c>
      <c r="C6" s="15"/>
      <c r="D6" s="15"/>
      <c r="E6" s="15"/>
      <c r="F6" s="15"/>
      <c r="G6" s="15"/>
      <c r="H6" s="15"/>
      <c r="I6" s="15"/>
      <c r="J6" s="16"/>
      <c r="K6" s="9">
        <f t="shared" si="0"/>
        <v>0</v>
      </c>
    </row>
    <row r="7" spans="1:11" x14ac:dyDescent="0.25">
      <c r="B7" s="10" t="s">
        <v>8</v>
      </c>
      <c r="C7" s="14">
        <f t="shared" ref="C7:J7" si="1">SUM(C3:C6)</f>
        <v>19</v>
      </c>
      <c r="D7" s="14">
        <f t="shared" si="1"/>
        <v>2</v>
      </c>
      <c r="E7" s="14">
        <f t="shared" si="1"/>
        <v>0</v>
      </c>
      <c r="F7" s="14">
        <f t="shared" si="1"/>
        <v>32</v>
      </c>
      <c r="G7" s="14">
        <f t="shared" si="1"/>
        <v>12</v>
      </c>
      <c r="H7" s="14">
        <f t="shared" si="1"/>
        <v>1</v>
      </c>
      <c r="I7" s="14">
        <f t="shared" si="1"/>
        <v>0</v>
      </c>
      <c r="J7" s="13">
        <f t="shared" si="1"/>
        <v>0</v>
      </c>
      <c r="K7" s="13">
        <f>SUM(C7:J7)</f>
        <v>66</v>
      </c>
    </row>
    <row r="8" spans="1:11" x14ac:dyDescent="0.25">
      <c r="C8" s="1"/>
      <c r="D8" s="1"/>
      <c r="E8" s="1"/>
      <c r="F8" s="1"/>
      <c r="G8" s="1"/>
      <c r="H8" s="1"/>
      <c r="I8" s="1"/>
      <c r="J8" s="1"/>
    </row>
    <row r="9" spans="1:1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11" x14ac:dyDescent="0.25">
      <c r="B10" s="2" t="s">
        <v>9</v>
      </c>
      <c r="C10" s="15">
        <v>11</v>
      </c>
      <c r="D10" s="15">
        <v>4</v>
      </c>
      <c r="E10" s="15">
        <v>3</v>
      </c>
      <c r="F10" s="15"/>
      <c r="G10" s="15">
        <v>1</v>
      </c>
      <c r="H10" s="15">
        <v>3</v>
      </c>
      <c r="I10" s="15">
        <v>6</v>
      </c>
      <c r="J10" s="16">
        <v>1</v>
      </c>
      <c r="K10" s="9">
        <f t="shared" ref="K10:K13" si="2">SUM(C10:J10)</f>
        <v>29</v>
      </c>
    </row>
    <row r="11" spans="1:11" x14ac:dyDescent="0.25">
      <c r="B11" s="2" t="s">
        <v>10</v>
      </c>
      <c r="C11" s="15"/>
      <c r="D11" s="15"/>
      <c r="E11" s="15"/>
      <c r="F11" s="15"/>
      <c r="G11" s="15">
        <v>2</v>
      </c>
      <c r="H11" s="15"/>
      <c r="I11" s="15">
        <v>1</v>
      </c>
      <c r="J11" s="16"/>
      <c r="K11" s="9">
        <f t="shared" si="2"/>
        <v>3</v>
      </c>
    </row>
    <row r="12" spans="1:11" x14ac:dyDescent="0.25">
      <c r="B12" s="3" t="s">
        <v>11</v>
      </c>
      <c r="C12" s="15"/>
      <c r="D12" s="15"/>
      <c r="E12" s="15"/>
      <c r="F12" s="15">
        <v>1</v>
      </c>
      <c r="G12" s="15">
        <v>1</v>
      </c>
      <c r="H12" s="15"/>
      <c r="I12" s="15"/>
      <c r="J12" s="16"/>
      <c r="K12" s="9">
        <f t="shared" si="2"/>
        <v>2</v>
      </c>
    </row>
    <row r="13" spans="1:11" x14ac:dyDescent="0.25">
      <c r="B13" s="2" t="s">
        <v>12</v>
      </c>
      <c r="C13" s="15"/>
      <c r="D13" s="15"/>
      <c r="E13" s="15"/>
      <c r="F13" s="15"/>
      <c r="G13" s="15"/>
      <c r="H13" s="15"/>
      <c r="I13" s="15"/>
      <c r="J13" s="16"/>
      <c r="K13" s="9">
        <f t="shared" si="2"/>
        <v>0</v>
      </c>
    </row>
    <row r="14" spans="1:11" x14ac:dyDescent="0.25">
      <c r="B14" s="10" t="s">
        <v>8</v>
      </c>
      <c r="C14" s="14">
        <f t="shared" ref="C14:J14" si="3">SUM(C10:C13)</f>
        <v>11</v>
      </c>
      <c r="D14" s="14">
        <f t="shared" si="3"/>
        <v>4</v>
      </c>
      <c r="E14" s="14">
        <f t="shared" si="3"/>
        <v>3</v>
      </c>
      <c r="F14" s="14">
        <f t="shared" si="3"/>
        <v>1</v>
      </c>
      <c r="G14" s="14">
        <f t="shared" si="3"/>
        <v>4</v>
      </c>
      <c r="H14" s="14">
        <f t="shared" si="3"/>
        <v>3</v>
      </c>
      <c r="I14" s="14">
        <f t="shared" si="3"/>
        <v>7</v>
      </c>
      <c r="J14" s="13">
        <f t="shared" si="3"/>
        <v>1</v>
      </c>
      <c r="K14" s="13">
        <f>SUM(C14:J14)</f>
        <v>34</v>
      </c>
    </row>
    <row r="16" spans="1:1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/>
      <c r="D17" s="15">
        <v>1</v>
      </c>
      <c r="E17" s="15"/>
      <c r="F17" s="15">
        <v>2</v>
      </c>
      <c r="G17" s="15"/>
      <c r="H17" s="15">
        <v>2</v>
      </c>
      <c r="I17" s="15">
        <v>5</v>
      </c>
      <c r="J17" s="16">
        <v>1</v>
      </c>
      <c r="K17" s="9">
        <f t="shared" ref="K17:K20" si="4">SUM(C17:J17)</f>
        <v>11</v>
      </c>
    </row>
    <row r="18" spans="2:11" x14ac:dyDescent="0.25">
      <c r="B18" s="2" t="s">
        <v>10</v>
      </c>
      <c r="C18" s="15"/>
      <c r="D18" s="15"/>
      <c r="E18" s="15"/>
      <c r="F18" s="15">
        <v>1</v>
      </c>
      <c r="G18" s="15"/>
      <c r="H18" s="15"/>
      <c r="I18" s="15"/>
      <c r="J18" s="16"/>
      <c r="K18" s="9">
        <f t="shared" si="4"/>
        <v>1</v>
      </c>
    </row>
    <row r="19" spans="2:11" x14ac:dyDescent="0.25">
      <c r="B19" s="3" t="s">
        <v>11</v>
      </c>
      <c r="C19" s="15"/>
      <c r="D19" s="15"/>
      <c r="E19" s="15"/>
      <c r="F19" s="15"/>
      <c r="G19" s="15"/>
      <c r="H19" s="15"/>
      <c r="I19" s="15"/>
      <c r="J19" s="16">
        <v>7</v>
      </c>
      <c r="K19" s="9">
        <f t="shared" si="4"/>
        <v>7</v>
      </c>
    </row>
    <row r="20" spans="2:11" x14ac:dyDescent="0.25">
      <c r="B20" s="2" t="s">
        <v>12</v>
      </c>
      <c r="C20" s="15"/>
      <c r="D20" s="15"/>
      <c r="E20" s="15"/>
      <c r="F20" s="15"/>
      <c r="G20" s="15"/>
      <c r="H20" s="15"/>
      <c r="I20" s="15"/>
      <c r="J20" s="16"/>
      <c r="K20" s="9">
        <f t="shared" si="4"/>
        <v>0</v>
      </c>
    </row>
    <row r="21" spans="2:11" x14ac:dyDescent="0.25">
      <c r="B21" s="10" t="s">
        <v>8</v>
      </c>
      <c r="C21" s="14">
        <f t="shared" ref="C21:J21" si="5">SUM(C17:C20)</f>
        <v>0</v>
      </c>
      <c r="D21" s="14">
        <f t="shared" si="5"/>
        <v>1</v>
      </c>
      <c r="E21" s="14">
        <f t="shared" si="5"/>
        <v>0</v>
      </c>
      <c r="F21" s="14">
        <f t="shared" si="5"/>
        <v>3</v>
      </c>
      <c r="G21" s="14">
        <f t="shared" si="5"/>
        <v>0</v>
      </c>
      <c r="H21" s="14">
        <f t="shared" si="5"/>
        <v>2</v>
      </c>
      <c r="I21" s="14">
        <f t="shared" si="5"/>
        <v>5</v>
      </c>
      <c r="J21" s="13">
        <f t="shared" si="5"/>
        <v>8</v>
      </c>
      <c r="K21" s="13">
        <f>SUM(C21:J21)</f>
        <v>19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v>10</v>
      </c>
      <c r="D24" s="15">
        <v>2</v>
      </c>
      <c r="E24" s="15"/>
      <c r="F24" s="15">
        <v>2</v>
      </c>
      <c r="G24" s="15">
        <v>2</v>
      </c>
      <c r="H24" s="15"/>
      <c r="I24" s="15">
        <v>2</v>
      </c>
      <c r="J24" s="16"/>
      <c r="K24" s="9">
        <f t="shared" ref="K24:K27" si="6">SUM(C24:J24)</f>
        <v>18</v>
      </c>
    </row>
    <row r="25" spans="2:11" x14ac:dyDescent="0.25">
      <c r="B25" s="2" t="s">
        <v>10</v>
      </c>
      <c r="C25" s="15"/>
      <c r="D25" s="15"/>
      <c r="E25" s="15"/>
      <c r="F25" s="15">
        <v>1</v>
      </c>
      <c r="G25" s="15">
        <v>3</v>
      </c>
      <c r="H25" s="15">
        <v>1</v>
      </c>
      <c r="I25" s="15"/>
      <c r="J25" s="16"/>
      <c r="K25" s="9">
        <f t="shared" si="6"/>
        <v>5</v>
      </c>
    </row>
    <row r="26" spans="2:11" x14ac:dyDescent="0.25">
      <c r="B26" s="3" t="s">
        <v>11</v>
      </c>
      <c r="C26" s="15"/>
      <c r="D26" s="15"/>
      <c r="E26" s="15"/>
      <c r="F26" s="15"/>
      <c r="G26" s="15"/>
      <c r="H26" s="15"/>
      <c r="I26" s="15"/>
      <c r="J26" s="16"/>
      <c r="K26" s="9">
        <f t="shared" si="6"/>
        <v>0</v>
      </c>
    </row>
    <row r="27" spans="2:11" x14ac:dyDescent="0.25">
      <c r="B27" s="2" t="s">
        <v>12</v>
      </c>
      <c r="C27" s="15"/>
      <c r="D27" s="15"/>
      <c r="E27" s="15"/>
      <c r="F27" s="15"/>
      <c r="G27" s="15"/>
      <c r="H27" s="15"/>
      <c r="I27" s="15"/>
      <c r="J27" s="16"/>
      <c r="K27" s="9">
        <f t="shared" si="6"/>
        <v>0</v>
      </c>
    </row>
    <row r="28" spans="2:11" x14ac:dyDescent="0.25">
      <c r="B28" s="10" t="s">
        <v>8</v>
      </c>
      <c r="C28" s="14">
        <f t="shared" ref="C28:J28" si="7">SUM(C24:C27)</f>
        <v>10</v>
      </c>
      <c r="D28" s="14">
        <f t="shared" si="7"/>
        <v>2</v>
      </c>
      <c r="E28" s="14">
        <f t="shared" si="7"/>
        <v>0</v>
      </c>
      <c r="F28" s="14">
        <f t="shared" si="7"/>
        <v>3</v>
      </c>
      <c r="G28" s="14">
        <f t="shared" si="7"/>
        <v>5</v>
      </c>
      <c r="H28" s="14">
        <f t="shared" si="7"/>
        <v>1</v>
      </c>
      <c r="I28" s="14">
        <f t="shared" si="7"/>
        <v>2</v>
      </c>
      <c r="J28" s="13">
        <f t="shared" si="7"/>
        <v>0</v>
      </c>
      <c r="K28" s="13">
        <f>SUM(C28:J28)</f>
        <v>23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 t="str">
        <f>IFERROR(-(C21-C28)/C21,"")</f>
        <v/>
      </c>
      <c r="D31" s="17">
        <f t="shared" ref="D31:K31" si="8">IFERROR(-(D21-D28)/D21,"")</f>
        <v>1</v>
      </c>
      <c r="E31" s="17" t="str">
        <f t="shared" si="8"/>
        <v/>
      </c>
      <c r="F31" s="17">
        <f t="shared" si="8"/>
        <v>0</v>
      </c>
      <c r="G31" s="17" t="str">
        <f t="shared" si="8"/>
        <v/>
      </c>
      <c r="H31" s="17">
        <f t="shared" si="8"/>
        <v>-0.5</v>
      </c>
      <c r="I31" s="17">
        <f t="shared" si="8"/>
        <v>-0.6</v>
      </c>
      <c r="J31" s="18">
        <f t="shared" si="8"/>
        <v>-1</v>
      </c>
      <c r="K31" s="18">
        <f t="shared" si="8"/>
        <v>0.21052631578947367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E237-5A0B-4D10-89EE-398190124A0B}">
  <dimension ref="A1:K55"/>
  <sheetViews>
    <sheetView showGridLines="0" topLeftCell="A10" workbookViewId="0">
      <selection activeCell="D25" sqref="D25"/>
    </sheetView>
  </sheetViews>
  <sheetFormatPr defaultRowHeight="15" x14ac:dyDescent="0.25"/>
  <cols>
    <col min="2" max="11" width="12.7109375" customWidth="1"/>
  </cols>
  <sheetData>
    <row r="1" spans="1:11" x14ac:dyDescent="0.25">
      <c r="A1" t="s">
        <v>20</v>
      </c>
      <c r="K1" s="1"/>
    </row>
    <row r="2" spans="1:1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11" x14ac:dyDescent="0.25">
      <c r="B3" s="2" t="s">
        <v>9</v>
      </c>
      <c r="C3" s="15">
        <v>33</v>
      </c>
      <c r="D3" s="15">
        <v>1</v>
      </c>
      <c r="E3" s="15"/>
      <c r="F3" s="15">
        <v>8</v>
      </c>
      <c r="G3" s="15"/>
      <c r="H3" s="15"/>
      <c r="I3" s="15">
        <v>10</v>
      </c>
      <c r="J3" s="16"/>
      <c r="K3" s="9">
        <f t="shared" ref="K3:K6" si="0">SUM(C3:J3)</f>
        <v>52</v>
      </c>
    </row>
    <row r="4" spans="1:11" x14ac:dyDescent="0.25">
      <c r="B4" s="2" t="s">
        <v>10</v>
      </c>
      <c r="C4" s="15"/>
      <c r="D4" s="15"/>
      <c r="E4" s="15"/>
      <c r="F4" s="15">
        <v>3</v>
      </c>
      <c r="G4" s="15">
        <v>57</v>
      </c>
      <c r="H4" s="15">
        <v>1</v>
      </c>
      <c r="I4" s="15">
        <v>2</v>
      </c>
      <c r="J4" s="16"/>
      <c r="K4" s="9">
        <f t="shared" si="0"/>
        <v>63</v>
      </c>
    </row>
    <row r="5" spans="1:11" x14ac:dyDescent="0.25">
      <c r="B5" s="3" t="s">
        <v>11</v>
      </c>
      <c r="C5" s="15">
        <v>10</v>
      </c>
      <c r="D5" s="15">
        <v>2</v>
      </c>
      <c r="E5" s="15"/>
      <c r="F5" s="15">
        <v>1</v>
      </c>
      <c r="G5" s="15">
        <v>7</v>
      </c>
      <c r="H5" s="15"/>
      <c r="I5" s="15">
        <v>1</v>
      </c>
      <c r="J5" s="16"/>
      <c r="K5" s="9">
        <f t="shared" si="0"/>
        <v>21</v>
      </c>
    </row>
    <row r="6" spans="1:11" x14ac:dyDescent="0.25">
      <c r="B6" s="2" t="s">
        <v>12</v>
      </c>
      <c r="C6" s="15"/>
      <c r="D6" s="15"/>
      <c r="E6" s="15"/>
      <c r="F6" s="15"/>
      <c r="G6" s="15">
        <v>1</v>
      </c>
      <c r="H6" s="15"/>
      <c r="I6" s="15"/>
      <c r="J6" s="16"/>
      <c r="K6" s="9">
        <f t="shared" si="0"/>
        <v>1</v>
      </c>
    </row>
    <row r="7" spans="1:11" x14ac:dyDescent="0.25">
      <c r="B7" s="10" t="s">
        <v>8</v>
      </c>
      <c r="C7" s="14">
        <f t="shared" ref="C7:J7" si="1">SUM(C3:C6)</f>
        <v>43</v>
      </c>
      <c r="D7" s="14">
        <f t="shared" si="1"/>
        <v>3</v>
      </c>
      <c r="E7" s="14">
        <f t="shared" si="1"/>
        <v>0</v>
      </c>
      <c r="F7" s="14">
        <f t="shared" si="1"/>
        <v>12</v>
      </c>
      <c r="G7" s="14">
        <f t="shared" si="1"/>
        <v>65</v>
      </c>
      <c r="H7" s="14">
        <f t="shared" si="1"/>
        <v>1</v>
      </c>
      <c r="I7" s="14">
        <f t="shared" si="1"/>
        <v>13</v>
      </c>
      <c r="J7" s="13">
        <f t="shared" si="1"/>
        <v>0</v>
      </c>
      <c r="K7" s="13">
        <f>SUM(C7:J7)</f>
        <v>137</v>
      </c>
    </row>
    <row r="8" spans="1:11" x14ac:dyDescent="0.25">
      <c r="C8" s="1"/>
      <c r="D8" s="1"/>
      <c r="E8" s="1"/>
      <c r="F8" s="1"/>
      <c r="G8" s="1"/>
      <c r="H8" s="1"/>
      <c r="I8" s="1"/>
      <c r="J8" s="1"/>
    </row>
    <row r="9" spans="1:1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11" x14ac:dyDescent="0.25">
      <c r="B10" s="2" t="s">
        <v>9</v>
      </c>
      <c r="C10" s="15">
        <v>16</v>
      </c>
      <c r="D10" s="15">
        <v>6</v>
      </c>
      <c r="E10" s="15">
        <v>1</v>
      </c>
      <c r="F10" s="15">
        <v>4</v>
      </c>
      <c r="G10" s="15">
        <v>1</v>
      </c>
      <c r="H10" s="15">
        <v>3</v>
      </c>
      <c r="I10" s="15">
        <v>1</v>
      </c>
      <c r="J10" s="16">
        <v>1</v>
      </c>
      <c r="K10" s="9">
        <f t="shared" ref="K10:K13" si="2">SUM(C10:J10)</f>
        <v>33</v>
      </c>
    </row>
    <row r="11" spans="1:11" x14ac:dyDescent="0.25">
      <c r="B11" s="2" t="s">
        <v>10</v>
      </c>
      <c r="C11" s="15"/>
      <c r="D11" s="15"/>
      <c r="E11" s="15"/>
      <c r="F11" s="15">
        <v>1</v>
      </c>
      <c r="G11" s="15">
        <v>7</v>
      </c>
      <c r="H11" s="15"/>
      <c r="I11" s="15"/>
      <c r="J11" s="16"/>
      <c r="K11" s="9">
        <f t="shared" si="2"/>
        <v>8</v>
      </c>
    </row>
    <row r="12" spans="1:11" x14ac:dyDescent="0.25">
      <c r="B12" s="3" t="s">
        <v>11</v>
      </c>
      <c r="C12" s="15">
        <v>1</v>
      </c>
      <c r="D12" s="15"/>
      <c r="E12" s="15"/>
      <c r="F12" s="15"/>
      <c r="G12" s="15">
        <v>4</v>
      </c>
      <c r="H12" s="15"/>
      <c r="I12" s="15"/>
      <c r="J12" s="16">
        <v>1</v>
      </c>
      <c r="K12" s="9">
        <f t="shared" si="2"/>
        <v>6</v>
      </c>
    </row>
    <row r="13" spans="1:11" x14ac:dyDescent="0.25">
      <c r="B13" s="2" t="s">
        <v>12</v>
      </c>
      <c r="C13" s="15"/>
      <c r="D13" s="15"/>
      <c r="E13" s="15"/>
      <c r="F13" s="15"/>
      <c r="G13" s="15"/>
      <c r="H13" s="15"/>
      <c r="I13" s="15"/>
      <c r="J13" s="16"/>
      <c r="K13" s="9">
        <f t="shared" si="2"/>
        <v>0</v>
      </c>
    </row>
    <row r="14" spans="1:11" x14ac:dyDescent="0.25">
      <c r="B14" s="10" t="s">
        <v>8</v>
      </c>
      <c r="C14" s="14">
        <f t="shared" ref="C14:J14" si="3">SUM(C10:C13)</f>
        <v>17</v>
      </c>
      <c r="D14" s="14">
        <f t="shared" si="3"/>
        <v>6</v>
      </c>
      <c r="E14" s="14">
        <f t="shared" si="3"/>
        <v>1</v>
      </c>
      <c r="F14" s="14">
        <f t="shared" si="3"/>
        <v>5</v>
      </c>
      <c r="G14" s="14">
        <f t="shared" si="3"/>
        <v>12</v>
      </c>
      <c r="H14" s="14">
        <f t="shared" si="3"/>
        <v>3</v>
      </c>
      <c r="I14" s="14">
        <f t="shared" si="3"/>
        <v>1</v>
      </c>
      <c r="J14" s="13">
        <f t="shared" si="3"/>
        <v>2</v>
      </c>
      <c r="K14" s="13">
        <f>SUM(C14:J14)</f>
        <v>47</v>
      </c>
    </row>
    <row r="16" spans="1:1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/>
      <c r="D17" s="15">
        <v>6</v>
      </c>
      <c r="E17" s="15"/>
      <c r="F17" s="15">
        <v>3</v>
      </c>
      <c r="G17" s="15">
        <v>5</v>
      </c>
      <c r="H17" s="15">
        <v>5</v>
      </c>
      <c r="I17" s="15">
        <v>27</v>
      </c>
      <c r="J17" s="16">
        <v>1</v>
      </c>
      <c r="K17" s="9">
        <f t="shared" ref="K17:K20" si="4">SUM(C17:J17)</f>
        <v>47</v>
      </c>
    </row>
    <row r="18" spans="2:11" x14ac:dyDescent="0.25">
      <c r="B18" s="2" t="s">
        <v>10</v>
      </c>
      <c r="C18" s="15"/>
      <c r="D18" s="15"/>
      <c r="E18" s="15"/>
      <c r="F18" s="15"/>
      <c r="G18" s="15">
        <v>3</v>
      </c>
      <c r="H18" s="15">
        <v>2</v>
      </c>
      <c r="I18" s="15"/>
      <c r="J18" s="16">
        <v>4</v>
      </c>
      <c r="K18" s="9">
        <f t="shared" si="4"/>
        <v>9</v>
      </c>
    </row>
    <row r="19" spans="2:11" x14ac:dyDescent="0.25">
      <c r="B19" s="3" t="s">
        <v>11</v>
      </c>
      <c r="C19" s="15"/>
      <c r="D19" s="15">
        <v>2</v>
      </c>
      <c r="E19" s="15"/>
      <c r="F19" s="15">
        <v>4</v>
      </c>
      <c r="G19" s="15">
        <v>9</v>
      </c>
      <c r="H19" s="15">
        <v>1</v>
      </c>
      <c r="I19" s="15"/>
      <c r="J19" s="16">
        <v>7</v>
      </c>
      <c r="K19" s="9">
        <f t="shared" si="4"/>
        <v>23</v>
      </c>
    </row>
    <row r="20" spans="2:11" x14ac:dyDescent="0.25">
      <c r="B20" s="2" t="s">
        <v>12</v>
      </c>
      <c r="C20" s="15"/>
      <c r="D20" s="15"/>
      <c r="E20" s="15"/>
      <c r="F20" s="15"/>
      <c r="G20" s="15">
        <v>4</v>
      </c>
      <c r="H20" s="15"/>
      <c r="I20" s="15"/>
      <c r="J20" s="16"/>
      <c r="K20" s="9">
        <f t="shared" si="4"/>
        <v>4</v>
      </c>
    </row>
    <row r="21" spans="2:11" x14ac:dyDescent="0.25">
      <c r="B21" s="10" t="s">
        <v>8</v>
      </c>
      <c r="C21" s="14">
        <f t="shared" ref="C21:J21" si="5">SUM(C17:C20)</f>
        <v>0</v>
      </c>
      <c r="D21" s="14">
        <f t="shared" si="5"/>
        <v>8</v>
      </c>
      <c r="E21" s="14">
        <f t="shared" si="5"/>
        <v>0</v>
      </c>
      <c r="F21" s="14">
        <f t="shared" si="5"/>
        <v>7</v>
      </c>
      <c r="G21" s="14">
        <f t="shared" si="5"/>
        <v>21</v>
      </c>
      <c r="H21" s="14">
        <f t="shared" si="5"/>
        <v>8</v>
      </c>
      <c r="I21" s="14">
        <f t="shared" si="5"/>
        <v>27</v>
      </c>
      <c r="J21" s="13">
        <f t="shared" si="5"/>
        <v>12</v>
      </c>
      <c r="K21" s="13">
        <f>SUM(C21:J21)</f>
        <v>83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v>14</v>
      </c>
      <c r="D24" s="15">
        <v>5</v>
      </c>
      <c r="E24" s="15"/>
      <c r="F24" s="15">
        <v>9</v>
      </c>
      <c r="G24" s="15"/>
      <c r="H24" s="15"/>
      <c r="I24" s="15">
        <v>20</v>
      </c>
      <c r="J24" s="16">
        <v>1</v>
      </c>
      <c r="K24" s="9">
        <f t="shared" ref="K24:K27" si="6">SUM(C24:J24)</f>
        <v>49</v>
      </c>
    </row>
    <row r="25" spans="2:11" x14ac:dyDescent="0.25">
      <c r="B25" s="2" t="s">
        <v>10</v>
      </c>
      <c r="C25" s="15">
        <v>1</v>
      </c>
      <c r="D25" s="15"/>
      <c r="E25" s="15"/>
      <c r="F25" s="15">
        <v>1</v>
      </c>
      <c r="G25" s="15">
        <v>3</v>
      </c>
      <c r="H25" s="15"/>
      <c r="I25" s="15"/>
      <c r="J25" s="16"/>
      <c r="K25" s="9">
        <f t="shared" si="6"/>
        <v>5</v>
      </c>
    </row>
    <row r="26" spans="2:11" x14ac:dyDescent="0.25">
      <c r="B26" s="3" t="s">
        <v>11</v>
      </c>
      <c r="C26" s="15"/>
      <c r="D26" s="15"/>
      <c r="E26" s="15"/>
      <c r="F26" s="15">
        <v>1</v>
      </c>
      <c r="G26" s="15">
        <f>3+10</f>
        <v>13</v>
      </c>
      <c r="H26" s="15"/>
      <c r="I26" s="15"/>
      <c r="J26" s="16">
        <v>2</v>
      </c>
      <c r="K26" s="9">
        <f t="shared" si="6"/>
        <v>16</v>
      </c>
    </row>
    <row r="27" spans="2:11" x14ac:dyDescent="0.25">
      <c r="B27" s="2" t="s">
        <v>12</v>
      </c>
      <c r="C27" s="15"/>
      <c r="D27" s="15"/>
      <c r="E27" s="15"/>
      <c r="F27" s="15"/>
      <c r="G27" s="15"/>
      <c r="H27" s="15"/>
      <c r="I27" s="15"/>
      <c r="J27" s="16"/>
      <c r="K27" s="9">
        <f t="shared" si="6"/>
        <v>0</v>
      </c>
    </row>
    <row r="28" spans="2:11" x14ac:dyDescent="0.25">
      <c r="B28" s="10" t="s">
        <v>8</v>
      </c>
      <c r="C28" s="14">
        <f t="shared" ref="C28:J28" si="7">SUM(C24:C27)</f>
        <v>15</v>
      </c>
      <c r="D28" s="14">
        <f t="shared" si="7"/>
        <v>5</v>
      </c>
      <c r="E28" s="14">
        <f t="shared" si="7"/>
        <v>0</v>
      </c>
      <c r="F28" s="14">
        <f t="shared" si="7"/>
        <v>11</v>
      </c>
      <c r="G28" s="14">
        <f t="shared" si="7"/>
        <v>16</v>
      </c>
      <c r="H28" s="14">
        <f t="shared" si="7"/>
        <v>0</v>
      </c>
      <c r="I28" s="14">
        <f t="shared" si="7"/>
        <v>20</v>
      </c>
      <c r="J28" s="13">
        <f t="shared" si="7"/>
        <v>3</v>
      </c>
      <c r="K28" s="13">
        <f>SUM(C28:J28)</f>
        <v>70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 t="str">
        <f>IFERROR(-(C21-C28)/C21,"")</f>
        <v/>
      </c>
      <c r="D31" s="17">
        <f t="shared" ref="D31:K31" si="8">IFERROR(-(D21-D28)/D21,"")</f>
        <v>-0.375</v>
      </c>
      <c r="E31" s="17" t="str">
        <f t="shared" si="8"/>
        <v/>
      </c>
      <c r="F31" s="17">
        <f t="shared" si="8"/>
        <v>0.5714285714285714</v>
      </c>
      <c r="G31" s="17">
        <f t="shared" si="8"/>
        <v>-0.23809523809523808</v>
      </c>
      <c r="H31" s="17">
        <f t="shared" si="8"/>
        <v>-1</v>
      </c>
      <c r="I31" s="17">
        <f t="shared" si="8"/>
        <v>-0.25925925925925924</v>
      </c>
      <c r="J31" s="18">
        <f t="shared" si="8"/>
        <v>-0.75</v>
      </c>
      <c r="K31" s="18">
        <f t="shared" si="8"/>
        <v>-0.15662650602409639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CE88-06D4-4D12-95F3-834A10AB6DCD}">
  <dimension ref="A1:K55"/>
  <sheetViews>
    <sheetView showGridLines="0" zoomScaleNormal="100" workbookViewId="0">
      <selection activeCell="M22" sqref="M22"/>
    </sheetView>
  </sheetViews>
  <sheetFormatPr defaultRowHeight="15" x14ac:dyDescent="0.25"/>
  <cols>
    <col min="2" max="11" width="12.7109375" customWidth="1"/>
    <col min="20" max="20" width="19.42578125" bestFit="1" customWidth="1"/>
  </cols>
  <sheetData>
    <row r="1" spans="1:11" x14ac:dyDescent="0.25">
      <c r="A1" t="s">
        <v>21</v>
      </c>
      <c r="K1" s="1"/>
    </row>
    <row r="2" spans="1:1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11" x14ac:dyDescent="0.25">
      <c r="B3" s="2" t="s">
        <v>9</v>
      </c>
      <c r="C3" s="15">
        <v>50</v>
      </c>
      <c r="D3" s="15">
        <v>17</v>
      </c>
      <c r="E3" s="15"/>
      <c r="F3" s="15">
        <v>27</v>
      </c>
      <c r="G3" s="15"/>
      <c r="H3" s="15">
        <v>3</v>
      </c>
      <c r="I3" s="15">
        <v>41</v>
      </c>
      <c r="J3" s="16">
        <v>1</v>
      </c>
      <c r="K3" s="9">
        <f t="shared" ref="K3:K6" si="0">SUM(C3:J3)</f>
        <v>139</v>
      </c>
    </row>
    <row r="4" spans="1:11" x14ac:dyDescent="0.25">
      <c r="B4" s="2" t="s">
        <v>10</v>
      </c>
      <c r="C4" s="15">
        <v>4</v>
      </c>
      <c r="D4" s="15"/>
      <c r="E4" s="15"/>
      <c r="F4" s="15">
        <v>36</v>
      </c>
      <c r="G4" s="15">
        <v>91</v>
      </c>
      <c r="H4" s="15">
        <v>5</v>
      </c>
      <c r="I4" s="15">
        <v>5</v>
      </c>
      <c r="J4" s="16">
        <v>19</v>
      </c>
      <c r="K4" s="9">
        <f t="shared" si="0"/>
        <v>160</v>
      </c>
    </row>
    <row r="5" spans="1:11" x14ac:dyDescent="0.25">
      <c r="B5" s="3" t="s">
        <v>11</v>
      </c>
      <c r="C5" s="15">
        <v>9</v>
      </c>
      <c r="D5" s="15">
        <v>3</v>
      </c>
      <c r="E5" s="15"/>
      <c r="F5" s="15">
        <v>24</v>
      </c>
      <c r="G5" s="15">
        <f>47+35</f>
        <v>82</v>
      </c>
      <c r="H5" s="15">
        <v>4</v>
      </c>
      <c r="I5" s="15">
        <v>13</v>
      </c>
      <c r="J5" s="16">
        <f>28+15</f>
        <v>43</v>
      </c>
      <c r="K5" s="9">
        <f t="shared" si="0"/>
        <v>178</v>
      </c>
    </row>
    <row r="6" spans="1:11" x14ac:dyDescent="0.25">
      <c r="B6" s="2" t="s">
        <v>12</v>
      </c>
      <c r="C6" s="15"/>
      <c r="D6" s="15"/>
      <c r="E6" s="15"/>
      <c r="F6" s="15"/>
      <c r="G6" s="15">
        <v>5</v>
      </c>
      <c r="H6" s="15"/>
      <c r="I6" s="15"/>
      <c r="J6" s="16"/>
      <c r="K6" s="9">
        <f t="shared" si="0"/>
        <v>5</v>
      </c>
    </row>
    <row r="7" spans="1:11" x14ac:dyDescent="0.25">
      <c r="B7" s="10" t="s">
        <v>8</v>
      </c>
      <c r="C7" s="14">
        <f t="shared" ref="C7:J7" si="1">SUM(C3:C6)</f>
        <v>63</v>
      </c>
      <c r="D7" s="14">
        <f t="shared" si="1"/>
        <v>20</v>
      </c>
      <c r="E7" s="14">
        <f t="shared" si="1"/>
        <v>0</v>
      </c>
      <c r="F7" s="14">
        <f t="shared" si="1"/>
        <v>87</v>
      </c>
      <c r="G7" s="14">
        <f t="shared" si="1"/>
        <v>178</v>
      </c>
      <c r="H7" s="14">
        <f t="shared" si="1"/>
        <v>12</v>
      </c>
      <c r="I7" s="14">
        <f t="shared" si="1"/>
        <v>59</v>
      </c>
      <c r="J7" s="13">
        <f t="shared" si="1"/>
        <v>63</v>
      </c>
      <c r="K7" s="13">
        <f>SUM(C7:J7)</f>
        <v>482</v>
      </c>
    </row>
    <row r="8" spans="1:11" x14ac:dyDescent="0.25">
      <c r="C8" s="1"/>
      <c r="D8" s="1"/>
      <c r="E8" s="1"/>
      <c r="F8" s="1"/>
      <c r="G8" s="1"/>
      <c r="H8" s="1"/>
      <c r="I8" s="1"/>
      <c r="J8" s="1"/>
    </row>
    <row r="9" spans="1:1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11" x14ac:dyDescent="0.25">
      <c r="B10" s="2" t="s">
        <v>9</v>
      </c>
      <c r="C10" s="15">
        <v>56</v>
      </c>
      <c r="D10" s="15">
        <v>11</v>
      </c>
      <c r="E10" s="15"/>
      <c r="F10" s="15">
        <v>9</v>
      </c>
      <c r="G10" s="15">
        <v>2</v>
      </c>
      <c r="H10" s="15">
        <v>5</v>
      </c>
      <c r="I10" s="15">
        <v>21</v>
      </c>
      <c r="J10" s="16">
        <v>4</v>
      </c>
      <c r="K10" s="9">
        <f t="shared" ref="K10:K13" si="2">SUM(C10:J10)</f>
        <v>108</v>
      </c>
    </row>
    <row r="11" spans="1:11" x14ac:dyDescent="0.25">
      <c r="B11" s="2" t="s">
        <v>10</v>
      </c>
      <c r="C11" s="15">
        <v>1</v>
      </c>
      <c r="D11" s="15">
        <v>1</v>
      </c>
      <c r="E11" s="15"/>
      <c r="F11" s="15">
        <v>24</v>
      </c>
      <c r="G11" s="15">
        <v>44</v>
      </c>
      <c r="H11" s="15">
        <v>7</v>
      </c>
      <c r="I11" s="15">
        <v>5</v>
      </c>
      <c r="J11" s="16">
        <v>13</v>
      </c>
      <c r="K11" s="9">
        <f t="shared" si="2"/>
        <v>95</v>
      </c>
    </row>
    <row r="12" spans="1:11" x14ac:dyDescent="0.25">
      <c r="B12" s="3" t="s">
        <v>11</v>
      </c>
      <c r="C12" s="15">
        <v>8</v>
      </c>
      <c r="D12" s="15"/>
      <c r="E12" s="15">
        <v>2</v>
      </c>
      <c r="F12" s="15">
        <v>12</v>
      </c>
      <c r="G12" s="15">
        <f>66+41</f>
        <v>107</v>
      </c>
      <c r="H12" s="15">
        <v>3</v>
      </c>
      <c r="I12" s="15">
        <v>12</v>
      </c>
      <c r="J12" s="16">
        <v>22</v>
      </c>
      <c r="K12" s="9">
        <f t="shared" si="2"/>
        <v>166</v>
      </c>
    </row>
    <row r="13" spans="1:11" x14ac:dyDescent="0.25">
      <c r="B13" s="2" t="s">
        <v>12</v>
      </c>
      <c r="C13" s="15"/>
      <c r="D13" s="15">
        <v>1</v>
      </c>
      <c r="E13" s="15"/>
      <c r="F13" s="15">
        <v>1</v>
      </c>
      <c r="G13" s="15">
        <v>6</v>
      </c>
      <c r="H13" s="15"/>
      <c r="I13" s="15"/>
      <c r="J13" s="16"/>
      <c r="K13" s="9">
        <f t="shared" si="2"/>
        <v>8</v>
      </c>
    </row>
    <row r="14" spans="1:11" x14ac:dyDescent="0.25">
      <c r="B14" s="10" t="s">
        <v>8</v>
      </c>
      <c r="C14" s="14">
        <f t="shared" ref="C14:J14" si="3">SUM(C10:C13)</f>
        <v>65</v>
      </c>
      <c r="D14" s="14">
        <f t="shared" si="3"/>
        <v>13</v>
      </c>
      <c r="E14" s="14">
        <f t="shared" si="3"/>
        <v>2</v>
      </c>
      <c r="F14" s="14">
        <f t="shared" si="3"/>
        <v>46</v>
      </c>
      <c r="G14" s="14">
        <f t="shared" si="3"/>
        <v>159</v>
      </c>
      <c r="H14" s="14">
        <f t="shared" si="3"/>
        <v>15</v>
      </c>
      <c r="I14" s="14">
        <f t="shared" si="3"/>
        <v>38</v>
      </c>
      <c r="J14" s="13">
        <f t="shared" si="3"/>
        <v>39</v>
      </c>
      <c r="K14" s="13">
        <f>SUM(C14:J14)</f>
        <v>377</v>
      </c>
    </row>
    <row r="16" spans="1:1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v>12</v>
      </c>
      <c r="D17" s="15">
        <v>4</v>
      </c>
      <c r="E17" s="15">
        <v>3</v>
      </c>
      <c r="F17" s="15">
        <v>8</v>
      </c>
      <c r="G17" s="15"/>
      <c r="H17" s="15">
        <v>8</v>
      </c>
      <c r="I17" s="15">
        <v>28</v>
      </c>
      <c r="J17" s="16">
        <v>1</v>
      </c>
      <c r="K17" s="9">
        <f t="shared" ref="K17:K20" si="4">SUM(C17:J17)</f>
        <v>64</v>
      </c>
    </row>
    <row r="18" spans="2:11" x14ac:dyDescent="0.25">
      <c r="B18" s="2" t="s">
        <v>10</v>
      </c>
      <c r="C18" s="15"/>
      <c r="D18" s="15"/>
      <c r="E18" s="15">
        <v>1</v>
      </c>
      <c r="F18" s="15">
        <v>9</v>
      </c>
      <c r="G18" s="15">
        <v>31</v>
      </c>
      <c r="H18" s="15"/>
      <c r="I18" s="15"/>
      <c r="J18" s="16">
        <v>17</v>
      </c>
      <c r="K18" s="9">
        <f t="shared" si="4"/>
        <v>58</v>
      </c>
    </row>
    <row r="19" spans="2:11" x14ac:dyDescent="0.25">
      <c r="B19" s="3" t="s">
        <v>11</v>
      </c>
      <c r="C19" s="15">
        <v>1</v>
      </c>
      <c r="D19" s="15"/>
      <c r="E19" s="15">
        <v>3</v>
      </c>
      <c r="F19" s="15">
        <v>12</v>
      </c>
      <c r="G19" s="15">
        <v>58</v>
      </c>
      <c r="H19" s="15">
        <v>1</v>
      </c>
      <c r="I19" s="15"/>
      <c r="J19" s="16">
        <v>13</v>
      </c>
      <c r="K19" s="9">
        <f t="shared" si="4"/>
        <v>88</v>
      </c>
    </row>
    <row r="20" spans="2:11" x14ac:dyDescent="0.25">
      <c r="B20" s="2" t="s">
        <v>12</v>
      </c>
      <c r="C20" s="15"/>
      <c r="D20" s="15"/>
      <c r="E20" s="15"/>
      <c r="F20" s="15"/>
      <c r="G20" s="15">
        <v>19</v>
      </c>
      <c r="H20" s="15"/>
      <c r="I20" s="15"/>
      <c r="J20" s="16"/>
      <c r="K20" s="9">
        <f t="shared" si="4"/>
        <v>19</v>
      </c>
    </row>
    <row r="21" spans="2:11" x14ac:dyDescent="0.25">
      <c r="B21" s="10" t="s">
        <v>8</v>
      </c>
      <c r="C21" s="14">
        <f t="shared" ref="C21:J21" si="5">SUM(C17:C20)</f>
        <v>13</v>
      </c>
      <c r="D21" s="14">
        <f t="shared" si="5"/>
        <v>4</v>
      </c>
      <c r="E21" s="14">
        <f t="shared" si="5"/>
        <v>7</v>
      </c>
      <c r="F21" s="14">
        <f t="shared" si="5"/>
        <v>29</v>
      </c>
      <c r="G21" s="14">
        <f t="shared" si="5"/>
        <v>108</v>
      </c>
      <c r="H21" s="14">
        <f t="shared" si="5"/>
        <v>9</v>
      </c>
      <c r="I21" s="14">
        <f t="shared" si="5"/>
        <v>28</v>
      </c>
      <c r="J21" s="13">
        <f t="shared" si="5"/>
        <v>31</v>
      </c>
      <c r="K21" s="13">
        <f>SUM(C21:J21)</f>
        <v>229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f>33+9</f>
        <v>42</v>
      </c>
      <c r="D24" s="15">
        <v>4</v>
      </c>
      <c r="E24" s="15">
        <v>18</v>
      </c>
      <c r="F24" s="15">
        <v>36</v>
      </c>
      <c r="G24" s="15">
        <v>6</v>
      </c>
      <c r="H24" s="15">
        <v>6</v>
      </c>
      <c r="I24" s="15">
        <v>84</v>
      </c>
      <c r="J24" s="16">
        <v>14</v>
      </c>
      <c r="K24" s="9">
        <f t="shared" ref="K24:K27" si="6">SUM(C24:J24)</f>
        <v>210</v>
      </c>
    </row>
    <row r="25" spans="2:11" x14ac:dyDescent="0.25">
      <c r="B25" s="2" t="s">
        <v>10</v>
      </c>
      <c r="C25" s="15">
        <v>5</v>
      </c>
      <c r="D25" s="15"/>
      <c r="E25" s="15">
        <v>4</v>
      </c>
      <c r="F25" s="15">
        <v>6</v>
      </c>
      <c r="G25" s="15">
        <f>9+11</f>
        <v>20</v>
      </c>
      <c r="H25" s="15">
        <v>3</v>
      </c>
      <c r="I25" s="15">
        <v>2</v>
      </c>
      <c r="J25" s="16">
        <f>6+13</f>
        <v>19</v>
      </c>
      <c r="K25" s="9">
        <f t="shared" si="6"/>
        <v>59</v>
      </c>
    </row>
    <row r="26" spans="2:11" x14ac:dyDescent="0.25">
      <c r="B26" s="3" t="s">
        <v>11</v>
      </c>
      <c r="C26" s="15">
        <f>6+4</f>
        <v>10</v>
      </c>
      <c r="D26" s="15"/>
      <c r="E26" s="15">
        <v>4</v>
      </c>
      <c r="F26" s="15">
        <v>9</v>
      </c>
      <c r="G26" s="15">
        <f>12+88</f>
        <v>100</v>
      </c>
      <c r="H26" s="15">
        <v>12</v>
      </c>
      <c r="I26" s="15">
        <v>7</v>
      </c>
      <c r="J26" s="16">
        <f>12+13</f>
        <v>25</v>
      </c>
      <c r="K26" s="9">
        <f t="shared" si="6"/>
        <v>167</v>
      </c>
    </row>
    <row r="27" spans="2:11" x14ac:dyDescent="0.25">
      <c r="B27" s="2" t="s">
        <v>12</v>
      </c>
      <c r="C27" s="15"/>
      <c r="D27" s="15"/>
      <c r="E27" s="15"/>
      <c r="F27" s="15"/>
      <c r="G27" s="15">
        <v>10</v>
      </c>
      <c r="H27" s="15"/>
      <c r="I27" s="15"/>
      <c r="J27" s="16"/>
      <c r="K27" s="9">
        <f t="shared" si="6"/>
        <v>10</v>
      </c>
    </row>
    <row r="28" spans="2:11" x14ac:dyDescent="0.25">
      <c r="B28" s="10" t="s">
        <v>8</v>
      </c>
      <c r="C28" s="14">
        <f t="shared" ref="C28:J28" si="7">SUM(C24:C27)</f>
        <v>57</v>
      </c>
      <c r="D28" s="14">
        <f t="shared" si="7"/>
        <v>4</v>
      </c>
      <c r="E28" s="14">
        <f t="shared" si="7"/>
        <v>26</v>
      </c>
      <c r="F28" s="14">
        <f t="shared" si="7"/>
        <v>51</v>
      </c>
      <c r="G28" s="14">
        <f t="shared" si="7"/>
        <v>136</v>
      </c>
      <c r="H28" s="14">
        <f t="shared" si="7"/>
        <v>21</v>
      </c>
      <c r="I28" s="14">
        <f t="shared" si="7"/>
        <v>93</v>
      </c>
      <c r="J28" s="13">
        <f t="shared" si="7"/>
        <v>58</v>
      </c>
      <c r="K28" s="13">
        <f>SUM(C28:J28)</f>
        <v>446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3.3846153846153846</v>
      </c>
      <c r="D31" s="17">
        <f t="shared" ref="D31:K31" si="8">IFERROR(-(D21-D28)/D21,"")</f>
        <v>0</v>
      </c>
      <c r="E31" s="17">
        <f t="shared" si="8"/>
        <v>2.7142857142857144</v>
      </c>
      <c r="F31" s="17">
        <f t="shared" si="8"/>
        <v>0.75862068965517238</v>
      </c>
      <c r="G31" s="17">
        <f t="shared" si="8"/>
        <v>0.25925925925925924</v>
      </c>
      <c r="H31" s="17">
        <f t="shared" si="8"/>
        <v>1.3333333333333333</v>
      </c>
      <c r="I31" s="17">
        <f t="shared" si="8"/>
        <v>2.3214285714285716</v>
      </c>
      <c r="J31" s="18">
        <f t="shared" si="8"/>
        <v>0.87096774193548387</v>
      </c>
      <c r="K31" s="18">
        <f t="shared" si="8"/>
        <v>0.94759825327510916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F30F-645C-4E09-B89F-F132A59F6180}">
  <dimension ref="A1:L55"/>
  <sheetViews>
    <sheetView showGridLines="0" topLeftCell="A15" zoomScale="70" zoomScaleNormal="70" workbookViewId="0">
      <selection activeCell="M22" sqref="M22:M24"/>
    </sheetView>
  </sheetViews>
  <sheetFormatPr defaultRowHeight="15" x14ac:dyDescent="0.25"/>
  <cols>
    <col min="2" max="11" width="12.7109375" customWidth="1"/>
  </cols>
  <sheetData>
    <row r="1" spans="1:11" x14ac:dyDescent="0.25">
      <c r="A1" t="s">
        <v>22</v>
      </c>
      <c r="K1" s="1"/>
    </row>
    <row r="2" spans="1:1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11" x14ac:dyDescent="0.25">
      <c r="B3" s="2" t="s">
        <v>9</v>
      </c>
      <c r="C3" s="15">
        <v>64</v>
      </c>
      <c r="D3" s="15">
        <v>28</v>
      </c>
      <c r="E3" s="15">
        <v>1</v>
      </c>
      <c r="F3" s="15">
        <v>71</v>
      </c>
      <c r="G3" s="15"/>
      <c r="H3" s="15">
        <v>12</v>
      </c>
      <c r="I3" s="15">
        <v>52</v>
      </c>
      <c r="J3" s="16">
        <v>29</v>
      </c>
      <c r="K3" s="9">
        <f t="shared" ref="K3:K6" si="0">SUM(C3:J3)</f>
        <v>257</v>
      </c>
    </row>
    <row r="4" spans="1:11" x14ac:dyDescent="0.25">
      <c r="B4" s="2" t="s">
        <v>10</v>
      </c>
      <c r="C4" s="15">
        <v>11</v>
      </c>
      <c r="D4" s="15">
        <v>19</v>
      </c>
      <c r="E4" s="15"/>
      <c r="F4" s="15">
        <v>46</v>
      </c>
      <c r="G4" s="15">
        <v>111</v>
      </c>
      <c r="H4" s="15">
        <v>9</v>
      </c>
      <c r="I4" s="15">
        <v>10</v>
      </c>
      <c r="J4" s="16">
        <v>36</v>
      </c>
      <c r="K4" s="9">
        <f t="shared" si="0"/>
        <v>242</v>
      </c>
    </row>
    <row r="5" spans="1:11" x14ac:dyDescent="0.25">
      <c r="B5" s="3" t="s">
        <v>11</v>
      </c>
      <c r="C5" s="15">
        <v>52</v>
      </c>
      <c r="D5" s="15">
        <v>1</v>
      </c>
      <c r="E5" s="15"/>
      <c r="F5" s="15">
        <v>51</v>
      </c>
      <c r="G5" s="15">
        <f>484+127</f>
        <v>611</v>
      </c>
      <c r="H5" s="15">
        <v>5</v>
      </c>
      <c r="I5" s="15">
        <v>33</v>
      </c>
      <c r="J5" s="16">
        <v>159</v>
      </c>
      <c r="K5" s="9">
        <f t="shared" si="0"/>
        <v>912</v>
      </c>
    </row>
    <row r="6" spans="1:11" x14ac:dyDescent="0.25">
      <c r="B6" s="2" t="s">
        <v>12</v>
      </c>
      <c r="C6" s="15">
        <v>2</v>
      </c>
      <c r="D6" s="15"/>
      <c r="E6" s="15"/>
      <c r="F6" s="15">
        <v>1</v>
      </c>
      <c r="G6" s="15">
        <v>11</v>
      </c>
      <c r="H6" s="15"/>
      <c r="I6" s="15"/>
      <c r="J6" s="16">
        <v>5</v>
      </c>
      <c r="K6" s="9">
        <f t="shared" si="0"/>
        <v>19</v>
      </c>
    </row>
    <row r="7" spans="1:11" x14ac:dyDescent="0.25">
      <c r="B7" s="10" t="s">
        <v>8</v>
      </c>
      <c r="C7" s="14">
        <f t="shared" ref="C7:J7" si="1">SUM(C3:C6)</f>
        <v>129</v>
      </c>
      <c r="D7" s="14">
        <f t="shared" si="1"/>
        <v>48</v>
      </c>
      <c r="E7" s="14">
        <f t="shared" si="1"/>
        <v>1</v>
      </c>
      <c r="F7" s="14">
        <f t="shared" si="1"/>
        <v>169</v>
      </c>
      <c r="G7" s="14">
        <f t="shared" si="1"/>
        <v>733</v>
      </c>
      <c r="H7" s="14">
        <f t="shared" si="1"/>
        <v>26</v>
      </c>
      <c r="I7" s="14">
        <f t="shared" si="1"/>
        <v>95</v>
      </c>
      <c r="J7" s="13">
        <f t="shared" si="1"/>
        <v>229</v>
      </c>
      <c r="K7" s="13">
        <f>SUM(C7:J7)</f>
        <v>1430</v>
      </c>
    </row>
    <row r="8" spans="1:11" x14ac:dyDescent="0.25">
      <c r="C8" s="1"/>
      <c r="D8" s="1"/>
      <c r="E8" s="1"/>
      <c r="F8" s="1"/>
      <c r="G8" s="1"/>
      <c r="H8" s="1"/>
      <c r="I8" s="1"/>
      <c r="J8" s="1"/>
    </row>
    <row r="9" spans="1:1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11" x14ac:dyDescent="0.25">
      <c r="B10" s="2" t="s">
        <v>9</v>
      </c>
      <c r="C10" s="15">
        <v>78</v>
      </c>
      <c r="D10" s="15">
        <v>14</v>
      </c>
      <c r="E10" s="15">
        <v>4</v>
      </c>
      <c r="F10" s="15">
        <v>42</v>
      </c>
      <c r="G10" s="15">
        <v>2</v>
      </c>
      <c r="H10" s="15">
        <v>10</v>
      </c>
      <c r="I10" s="15">
        <v>53</v>
      </c>
      <c r="J10" s="16">
        <v>29</v>
      </c>
      <c r="K10" s="9">
        <f t="shared" ref="K10:K13" si="2">SUM(C10:J10)</f>
        <v>232</v>
      </c>
    </row>
    <row r="11" spans="1:11" x14ac:dyDescent="0.25">
      <c r="B11" s="2" t="s">
        <v>10</v>
      </c>
      <c r="C11" s="15">
        <v>49</v>
      </c>
      <c r="D11" s="15"/>
      <c r="E11" s="15">
        <v>4</v>
      </c>
      <c r="F11" s="15">
        <v>55</v>
      </c>
      <c r="G11" s="15">
        <v>81</v>
      </c>
      <c r="H11" s="15">
        <v>15</v>
      </c>
      <c r="I11" s="15">
        <v>39</v>
      </c>
      <c r="J11" s="16">
        <v>61</v>
      </c>
      <c r="K11" s="9">
        <f t="shared" si="2"/>
        <v>304</v>
      </c>
    </row>
    <row r="12" spans="1:11" x14ac:dyDescent="0.25">
      <c r="B12" s="3" t="s">
        <v>11</v>
      </c>
      <c r="C12" s="15">
        <v>99</v>
      </c>
      <c r="D12" s="15">
        <v>4</v>
      </c>
      <c r="E12" s="15">
        <v>7</v>
      </c>
      <c r="F12" s="15">
        <v>45</v>
      </c>
      <c r="G12" s="15">
        <f>555+173</f>
        <v>728</v>
      </c>
      <c r="H12" s="15">
        <v>8</v>
      </c>
      <c r="I12" s="15">
        <v>86</v>
      </c>
      <c r="J12" s="16">
        <v>178</v>
      </c>
      <c r="K12" s="9">
        <f t="shared" si="2"/>
        <v>1155</v>
      </c>
    </row>
    <row r="13" spans="1:11" x14ac:dyDescent="0.25">
      <c r="B13" s="2" t="s">
        <v>12</v>
      </c>
      <c r="C13" s="15"/>
      <c r="D13" s="15"/>
      <c r="E13" s="15"/>
      <c r="F13" s="15"/>
      <c r="G13" s="15">
        <v>11</v>
      </c>
      <c r="H13" s="15"/>
      <c r="I13" s="15"/>
      <c r="J13" s="16"/>
      <c r="K13" s="9">
        <f t="shared" si="2"/>
        <v>11</v>
      </c>
    </row>
    <row r="14" spans="1:11" x14ac:dyDescent="0.25">
      <c r="B14" s="10" t="s">
        <v>8</v>
      </c>
      <c r="C14" s="14">
        <f t="shared" ref="C14:J14" si="3">SUM(C10:C13)</f>
        <v>226</v>
      </c>
      <c r="D14" s="14">
        <f t="shared" si="3"/>
        <v>18</v>
      </c>
      <c r="E14" s="14">
        <f t="shared" si="3"/>
        <v>15</v>
      </c>
      <c r="F14" s="14">
        <f t="shared" si="3"/>
        <v>142</v>
      </c>
      <c r="G14" s="14">
        <f t="shared" si="3"/>
        <v>822</v>
      </c>
      <c r="H14" s="14">
        <f t="shared" si="3"/>
        <v>33</v>
      </c>
      <c r="I14" s="14">
        <f t="shared" si="3"/>
        <v>178</v>
      </c>
      <c r="J14" s="13">
        <f t="shared" si="3"/>
        <v>268</v>
      </c>
      <c r="K14" s="13">
        <f>SUM(C14:J14)</f>
        <v>1702</v>
      </c>
    </row>
    <row r="16" spans="1:1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2" x14ac:dyDescent="0.25">
      <c r="B17" s="2" t="s">
        <v>9</v>
      </c>
      <c r="C17" s="15">
        <v>68</v>
      </c>
      <c r="D17" s="15">
        <v>11</v>
      </c>
      <c r="E17" s="15">
        <v>25</v>
      </c>
      <c r="F17" s="15">
        <v>50</v>
      </c>
      <c r="G17" s="15">
        <v>13</v>
      </c>
      <c r="H17" s="15">
        <v>18</v>
      </c>
      <c r="I17" s="15">
        <v>103</v>
      </c>
      <c r="J17" s="16">
        <v>27</v>
      </c>
      <c r="K17" s="9">
        <f t="shared" ref="K17:K20" si="4">SUM(C17:J17)</f>
        <v>315</v>
      </c>
    </row>
    <row r="18" spans="2:12" x14ac:dyDescent="0.25">
      <c r="B18" s="2" t="s">
        <v>10</v>
      </c>
      <c r="C18" s="15">
        <v>19</v>
      </c>
      <c r="D18" s="15">
        <v>6</v>
      </c>
      <c r="E18" s="15">
        <v>16</v>
      </c>
      <c r="F18" s="15">
        <v>81</v>
      </c>
      <c r="G18" s="15">
        <f>72+50</f>
        <v>122</v>
      </c>
      <c r="H18" s="15">
        <v>7</v>
      </c>
      <c r="I18" s="15">
        <v>9</v>
      </c>
      <c r="J18" s="16">
        <v>53</v>
      </c>
      <c r="K18" s="9">
        <f t="shared" si="4"/>
        <v>313</v>
      </c>
    </row>
    <row r="19" spans="2:12" x14ac:dyDescent="0.25">
      <c r="B19" s="3" t="s">
        <v>11</v>
      </c>
      <c r="C19" s="15">
        <v>40</v>
      </c>
      <c r="D19" s="15">
        <v>8</v>
      </c>
      <c r="E19" s="15">
        <v>26</v>
      </c>
      <c r="F19" s="15">
        <v>52</v>
      </c>
      <c r="G19" s="15">
        <f>162+365</f>
        <v>527</v>
      </c>
      <c r="H19" s="15">
        <v>7</v>
      </c>
      <c r="I19" s="15">
        <f>15+22</f>
        <v>37</v>
      </c>
      <c r="J19" s="16">
        <v>108</v>
      </c>
      <c r="K19" s="9">
        <f t="shared" si="4"/>
        <v>805</v>
      </c>
    </row>
    <row r="20" spans="2:12" x14ac:dyDescent="0.25">
      <c r="B20" s="2" t="s">
        <v>12</v>
      </c>
      <c r="C20" s="15">
        <v>4</v>
      </c>
      <c r="D20" s="15"/>
      <c r="E20" s="15">
        <v>1</v>
      </c>
      <c r="F20" s="15">
        <v>1</v>
      </c>
      <c r="G20" s="15">
        <v>52</v>
      </c>
      <c r="H20" s="15"/>
      <c r="I20" s="15"/>
      <c r="J20" s="16">
        <v>5</v>
      </c>
      <c r="K20" s="9">
        <f t="shared" si="4"/>
        <v>63</v>
      </c>
    </row>
    <row r="21" spans="2:12" x14ac:dyDescent="0.25">
      <c r="B21" s="10" t="s">
        <v>8</v>
      </c>
      <c r="C21" s="14">
        <f t="shared" ref="C21:J21" si="5">SUM(C17:C20)</f>
        <v>131</v>
      </c>
      <c r="D21" s="14">
        <f t="shared" si="5"/>
        <v>25</v>
      </c>
      <c r="E21" s="14">
        <f t="shared" si="5"/>
        <v>68</v>
      </c>
      <c r="F21" s="14">
        <f t="shared" si="5"/>
        <v>184</v>
      </c>
      <c r="G21" s="14">
        <f t="shared" si="5"/>
        <v>714</v>
      </c>
      <c r="H21" s="14">
        <f t="shared" si="5"/>
        <v>32</v>
      </c>
      <c r="I21" s="14">
        <f t="shared" si="5"/>
        <v>149</v>
      </c>
      <c r="J21" s="13">
        <f t="shared" si="5"/>
        <v>193</v>
      </c>
      <c r="K21" s="13">
        <f>SUM(C21:J21)</f>
        <v>1496</v>
      </c>
    </row>
    <row r="23" spans="2:12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2" x14ac:dyDescent="0.25">
      <c r="B24" s="2" t="s">
        <v>9</v>
      </c>
      <c r="C24" s="15">
        <f>52+36</f>
        <v>88</v>
      </c>
      <c r="D24" s="15">
        <f>5</f>
        <v>5</v>
      </c>
      <c r="E24" s="15">
        <f>28</f>
        <v>28</v>
      </c>
      <c r="F24" s="15">
        <f>51</f>
        <v>51</v>
      </c>
      <c r="G24" s="15">
        <f>9+20</f>
        <v>29</v>
      </c>
      <c r="H24" s="15">
        <f>11</f>
        <v>11</v>
      </c>
      <c r="I24" s="15">
        <f>129</f>
        <v>129</v>
      </c>
      <c r="J24" s="16">
        <f>34</f>
        <v>34</v>
      </c>
      <c r="K24" s="9">
        <f t="shared" ref="K24:K27" si="6">SUM(C24:J24)</f>
        <v>375</v>
      </c>
    </row>
    <row r="25" spans="2:12" x14ac:dyDescent="0.25">
      <c r="B25" s="2" t="s">
        <v>10</v>
      </c>
      <c r="C25" s="15">
        <f>29+8</f>
        <v>37</v>
      </c>
      <c r="D25" s="15">
        <f>1</f>
        <v>1</v>
      </c>
      <c r="E25" s="15">
        <f>11+6</f>
        <v>17</v>
      </c>
      <c r="F25" s="15">
        <f>22+15</f>
        <v>37</v>
      </c>
      <c r="G25" s="15">
        <f>36+52</f>
        <v>88</v>
      </c>
      <c r="H25" s="15">
        <f>12+10</f>
        <v>22</v>
      </c>
      <c r="I25" s="15">
        <f>30+4</f>
        <v>34</v>
      </c>
      <c r="J25" s="16">
        <f>9+17</f>
        <v>26</v>
      </c>
      <c r="K25" s="9">
        <f t="shared" si="6"/>
        <v>262</v>
      </c>
      <c r="L25" s="1"/>
    </row>
    <row r="26" spans="2:12" x14ac:dyDescent="0.25">
      <c r="B26" s="3" t="s">
        <v>11</v>
      </c>
      <c r="C26" s="15">
        <f>72+30</f>
        <v>102</v>
      </c>
      <c r="D26" s="15">
        <f>4</f>
        <v>4</v>
      </c>
      <c r="E26" s="15">
        <f>12+18</f>
        <v>30</v>
      </c>
      <c r="F26" s="15">
        <f>24+41</f>
        <v>65</v>
      </c>
      <c r="G26" s="15">
        <f>291+391</f>
        <v>682</v>
      </c>
      <c r="H26" s="15">
        <f>5+5</f>
        <v>10</v>
      </c>
      <c r="I26" s="15">
        <f>45+16</f>
        <v>61</v>
      </c>
      <c r="J26" s="16">
        <f>105+68</f>
        <v>173</v>
      </c>
      <c r="K26" s="9">
        <f t="shared" si="6"/>
        <v>1127</v>
      </c>
    </row>
    <row r="27" spans="2:12" x14ac:dyDescent="0.25">
      <c r="B27" s="2" t="s">
        <v>12</v>
      </c>
      <c r="C27" s="15">
        <f>6</f>
        <v>6</v>
      </c>
      <c r="D27" s="15"/>
      <c r="E27" s="15"/>
      <c r="F27" s="15"/>
      <c r="G27" s="15">
        <f>11+3</f>
        <v>14</v>
      </c>
      <c r="H27" s="15"/>
      <c r="I27" s="15">
        <f>1</f>
        <v>1</v>
      </c>
      <c r="J27" s="16"/>
      <c r="K27" s="9">
        <f t="shared" si="6"/>
        <v>21</v>
      </c>
    </row>
    <row r="28" spans="2:12" x14ac:dyDescent="0.25">
      <c r="B28" s="10" t="s">
        <v>8</v>
      </c>
      <c r="C28" s="14">
        <f t="shared" ref="C28:J28" si="7">SUM(C24:C27)</f>
        <v>233</v>
      </c>
      <c r="D28" s="14">
        <f t="shared" si="7"/>
        <v>10</v>
      </c>
      <c r="E28" s="14">
        <f t="shared" si="7"/>
        <v>75</v>
      </c>
      <c r="F28" s="14">
        <f t="shared" si="7"/>
        <v>153</v>
      </c>
      <c r="G28" s="14">
        <f t="shared" si="7"/>
        <v>813</v>
      </c>
      <c r="H28" s="14">
        <f t="shared" si="7"/>
        <v>43</v>
      </c>
      <c r="I28" s="14">
        <f t="shared" si="7"/>
        <v>225</v>
      </c>
      <c r="J28" s="13">
        <f t="shared" si="7"/>
        <v>233</v>
      </c>
      <c r="K28" s="13">
        <f>SUM(C28:J28)</f>
        <v>1785</v>
      </c>
    </row>
    <row r="30" spans="2:12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2" x14ac:dyDescent="0.25">
      <c r="B31" s="4" t="s">
        <v>14</v>
      </c>
      <c r="C31" s="19">
        <f>IFERROR(-(C21-C28)/C21,"")</f>
        <v>0.77862595419847325</v>
      </c>
      <c r="D31" s="17">
        <f t="shared" ref="D31:K31" si="8">IFERROR(-(D21-D28)/D21,"")</f>
        <v>-0.6</v>
      </c>
      <c r="E31" s="17">
        <f t="shared" si="8"/>
        <v>0.10294117647058823</v>
      </c>
      <c r="F31" s="17">
        <f t="shared" si="8"/>
        <v>-0.16847826086956522</v>
      </c>
      <c r="G31" s="17">
        <f t="shared" si="8"/>
        <v>0.13865546218487396</v>
      </c>
      <c r="H31" s="17">
        <f t="shared" si="8"/>
        <v>0.34375</v>
      </c>
      <c r="I31" s="17">
        <f t="shared" si="8"/>
        <v>0.51006711409395977</v>
      </c>
      <c r="J31" s="18">
        <f t="shared" si="8"/>
        <v>0.20725388601036268</v>
      </c>
      <c r="K31" s="18">
        <f t="shared" si="8"/>
        <v>0.19318181818181818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8093-7D9B-4D35-9EC8-19A19F2F5854}">
  <dimension ref="A1:K55"/>
  <sheetViews>
    <sheetView showGridLines="0" topLeftCell="A19" workbookViewId="0">
      <selection activeCell="M22" sqref="M22:M24"/>
    </sheetView>
  </sheetViews>
  <sheetFormatPr defaultRowHeight="15" x14ac:dyDescent="0.25"/>
  <cols>
    <col min="2" max="11" width="12.7109375" customWidth="1"/>
  </cols>
  <sheetData>
    <row r="1" spans="1:11" x14ac:dyDescent="0.25">
      <c r="A1" t="s">
        <v>23</v>
      </c>
      <c r="K1" s="1"/>
    </row>
    <row r="2" spans="1:1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11" x14ac:dyDescent="0.25">
      <c r="B3" s="2" t="s">
        <v>9</v>
      </c>
      <c r="C3" s="15">
        <v>112</v>
      </c>
      <c r="D3" s="15">
        <v>27</v>
      </c>
      <c r="E3" s="15">
        <v>1</v>
      </c>
      <c r="F3" s="15">
        <v>128</v>
      </c>
      <c r="G3" s="15">
        <v>14</v>
      </c>
      <c r="H3" s="15">
        <v>22</v>
      </c>
      <c r="I3" s="15">
        <v>90</v>
      </c>
      <c r="J3" s="16">
        <v>38</v>
      </c>
      <c r="K3" s="9">
        <f t="shared" ref="K3:K6" si="0">SUM(C3:J3)</f>
        <v>432</v>
      </c>
    </row>
    <row r="4" spans="1:11" x14ac:dyDescent="0.25">
      <c r="B4" s="2" t="s">
        <v>10</v>
      </c>
      <c r="C4" s="15">
        <v>71</v>
      </c>
      <c r="D4" s="15">
        <f>2+23</f>
        <v>25</v>
      </c>
      <c r="E4" s="15">
        <v>3</v>
      </c>
      <c r="F4" s="15">
        <v>67</v>
      </c>
      <c r="G4" s="15">
        <v>342</v>
      </c>
      <c r="H4" s="15">
        <v>11</v>
      </c>
      <c r="I4" s="15">
        <v>90</v>
      </c>
      <c r="J4" s="16">
        <v>190</v>
      </c>
      <c r="K4" s="9">
        <f t="shared" si="0"/>
        <v>799</v>
      </c>
    </row>
    <row r="5" spans="1:11" x14ac:dyDescent="0.25">
      <c r="B5" s="3" t="s">
        <v>11</v>
      </c>
      <c r="C5" s="15">
        <v>115</v>
      </c>
      <c r="D5" s="15">
        <v>18</v>
      </c>
      <c r="E5" s="15">
        <v>3</v>
      </c>
      <c r="F5" s="15">
        <v>151</v>
      </c>
      <c r="G5" s="15">
        <f>1192+315</f>
        <v>1507</v>
      </c>
      <c r="H5" s="15">
        <v>39</v>
      </c>
      <c r="I5" s="15">
        <v>148</v>
      </c>
      <c r="J5" s="16">
        <f>328+44</f>
        <v>372</v>
      </c>
      <c r="K5" s="9">
        <f t="shared" si="0"/>
        <v>2353</v>
      </c>
    </row>
    <row r="6" spans="1:11" x14ac:dyDescent="0.25">
      <c r="B6" s="2" t="s">
        <v>12</v>
      </c>
      <c r="C6" s="15"/>
      <c r="D6" s="15"/>
      <c r="E6" s="15"/>
      <c r="F6" s="15">
        <v>1</v>
      </c>
      <c r="G6" s="15">
        <v>29</v>
      </c>
      <c r="H6" s="15"/>
      <c r="I6" s="15">
        <v>3</v>
      </c>
      <c r="J6" s="16">
        <v>1</v>
      </c>
      <c r="K6" s="9">
        <f t="shared" si="0"/>
        <v>34</v>
      </c>
    </row>
    <row r="7" spans="1:11" x14ac:dyDescent="0.25">
      <c r="B7" s="10" t="s">
        <v>8</v>
      </c>
      <c r="C7" s="14">
        <f t="shared" ref="C7:J7" si="1">SUM(C3:C6)</f>
        <v>298</v>
      </c>
      <c r="D7" s="14">
        <f t="shared" si="1"/>
        <v>70</v>
      </c>
      <c r="E7" s="14">
        <f t="shared" si="1"/>
        <v>7</v>
      </c>
      <c r="F7" s="14">
        <f t="shared" si="1"/>
        <v>347</v>
      </c>
      <c r="G7" s="14">
        <f t="shared" si="1"/>
        <v>1892</v>
      </c>
      <c r="H7" s="14">
        <f t="shared" si="1"/>
        <v>72</v>
      </c>
      <c r="I7" s="14">
        <f t="shared" si="1"/>
        <v>331</v>
      </c>
      <c r="J7" s="13">
        <f t="shared" si="1"/>
        <v>601</v>
      </c>
      <c r="K7" s="13">
        <f>SUM(C7:J7)</f>
        <v>3618</v>
      </c>
    </row>
    <row r="8" spans="1:11" x14ac:dyDescent="0.25">
      <c r="C8" s="1"/>
      <c r="D8" s="1"/>
      <c r="E8" s="1"/>
      <c r="F8" s="1"/>
      <c r="G8" s="1"/>
      <c r="H8" s="1"/>
      <c r="I8" s="1"/>
      <c r="J8" s="1"/>
    </row>
    <row r="9" spans="1:1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11" x14ac:dyDescent="0.25">
      <c r="B10" s="2" t="s">
        <v>9</v>
      </c>
      <c r="C10" s="15">
        <v>102</v>
      </c>
      <c r="D10" s="15">
        <v>14</v>
      </c>
      <c r="E10" s="15">
        <v>17</v>
      </c>
      <c r="F10" s="15">
        <v>75</v>
      </c>
      <c r="G10" s="15">
        <v>9</v>
      </c>
      <c r="H10" s="15">
        <v>6</v>
      </c>
      <c r="I10" s="15">
        <v>95</v>
      </c>
      <c r="J10" s="16">
        <v>40</v>
      </c>
      <c r="K10" s="9">
        <f t="shared" ref="K10:K13" si="2">SUM(C10:J10)</f>
        <v>358</v>
      </c>
    </row>
    <row r="11" spans="1:11" x14ac:dyDescent="0.25">
      <c r="B11" s="2" t="s">
        <v>10</v>
      </c>
      <c r="C11" s="15">
        <f>27+17+30</f>
        <v>74</v>
      </c>
      <c r="D11" s="15">
        <v>14</v>
      </c>
      <c r="E11" s="15">
        <f>6+23</f>
        <v>29</v>
      </c>
      <c r="F11" s="15">
        <f>18+85</f>
        <v>103</v>
      </c>
      <c r="G11" s="15">
        <f>45+54+151</f>
        <v>250</v>
      </c>
      <c r="H11" s="15">
        <f>7</f>
        <v>7</v>
      </c>
      <c r="I11" s="15">
        <f>15+20+41</f>
        <v>76</v>
      </c>
      <c r="J11" s="16">
        <f>63+27+84</f>
        <v>174</v>
      </c>
      <c r="K11" s="9">
        <f t="shared" si="2"/>
        <v>727</v>
      </c>
    </row>
    <row r="12" spans="1:11" x14ac:dyDescent="0.25">
      <c r="B12" s="3" t="s">
        <v>11</v>
      </c>
      <c r="C12" s="15">
        <v>184</v>
      </c>
      <c r="D12" s="15">
        <v>18</v>
      </c>
      <c r="E12" s="15">
        <v>52</v>
      </c>
      <c r="F12" s="15">
        <v>165</v>
      </c>
      <c r="G12" s="15">
        <f>3+237+297+696+304</f>
        <v>1537</v>
      </c>
      <c r="H12" s="15">
        <v>53</v>
      </c>
      <c r="I12" s="15">
        <f>36+34+118+7</f>
        <v>195</v>
      </c>
      <c r="J12" s="16">
        <v>453</v>
      </c>
      <c r="K12" s="9">
        <f t="shared" si="2"/>
        <v>2657</v>
      </c>
    </row>
    <row r="13" spans="1:11" x14ac:dyDescent="0.25">
      <c r="B13" s="2" t="s">
        <v>12</v>
      </c>
      <c r="C13" s="15">
        <v>4</v>
      </c>
      <c r="D13" s="15"/>
      <c r="E13" s="15"/>
      <c r="F13" s="15"/>
      <c r="G13" s="15">
        <v>40</v>
      </c>
      <c r="H13" s="15"/>
      <c r="I13" s="15">
        <v>5</v>
      </c>
      <c r="J13" s="16">
        <v>4</v>
      </c>
      <c r="K13" s="9">
        <f t="shared" si="2"/>
        <v>53</v>
      </c>
    </row>
    <row r="14" spans="1:11" x14ac:dyDescent="0.25">
      <c r="B14" s="10" t="s">
        <v>8</v>
      </c>
      <c r="C14" s="14">
        <f t="shared" ref="C14:J14" si="3">SUM(C10:C13)</f>
        <v>364</v>
      </c>
      <c r="D14" s="14">
        <f t="shared" si="3"/>
        <v>46</v>
      </c>
      <c r="E14" s="14">
        <f t="shared" si="3"/>
        <v>98</v>
      </c>
      <c r="F14" s="14">
        <f t="shared" si="3"/>
        <v>343</v>
      </c>
      <c r="G14" s="14">
        <f t="shared" si="3"/>
        <v>1836</v>
      </c>
      <c r="H14" s="14">
        <f t="shared" si="3"/>
        <v>66</v>
      </c>
      <c r="I14" s="14">
        <f t="shared" si="3"/>
        <v>371</v>
      </c>
      <c r="J14" s="13">
        <f t="shared" si="3"/>
        <v>671</v>
      </c>
      <c r="K14" s="13">
        <f>SUM(C14:J14)</f>
        <v>3795</v>
      </c>
    </row>
    <row r="15" spans="1:11" x14ac:dyDescent="0.25">
      <c r="G15" s="8"/>
      <c r="H15" s="8"/>
      <c r="I15" s="8"/>
    </row>
    <row r="16" spans="1:1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f>23+44</f>
        <v>67</v>
      </c>
      <c r="D17" s="15">
        <v>10</v>
      </c>
      <c r="E17" s="15">
        <v>22</v>
      </c>
      <c r="F17" s="15">
        <v>68</v>
      </c>
      <c r="G17" s="15">
        <v>4</v>
      </c>
      <c r="H17" s="15">
        <v>12</v>
      </c>
      <c r="I17" s="15">
        <v>171</v>
      </c>
      <c r="J17" s="16">
        <v>28</v>
      </c>
      <c r="K17" s="9">
        <f t="shared" ref="K17:K20" si="4">SUM(C17:J17)</f>
        <v>382</v>
      </c>
    </row>
    <row r="18" spans="2:11" x14ac:dyDescent="0.25">
      <c r="B18" s="2" t="s">
        <v>10</v>
      </c>
      <c r="C18" s="15">
        <f>30+11</f>
        <v>41</v>
      </c>
      <c r="D18" s="15">
        <v>36</v>
      </c>
      <c r="E18" s="15">
        <v>43</v>
      </c>
      <c r="F18" s="15">
        <f>33+56</f>
        <v>89</v>
      </c>
      <c r="G18" s="15">
        <f>147+162</f>
        <v>309</v>
      </c>
      <c r="H18" s="15">
        <v>5</v>
      </c>
      <c r="I18" s="15">
        <f>42+26</f>
        <v>68</v>
      </c>
      <c r="J18" s="16">
        <f>78+95</f>
        <v>173</v>
      </c>
      <c r="K18" s="9">
        <f t="shared" si="4"/>
        <v>764</v>
      </c>
    </row>
    <row r="19" spans="2:11" x14ac:dyDescent="0.25">
      <c r="B19" s="3" t="s">
        <v>11</v>
      </c>
      <c r="C19" s="15">
        <f>42+38</f>
        <v>80</v>
      </c>
      <c r="D19" s="15">
        <v>6</v>
      </c>
      <c r="E19" s="15">
        <v>86</v>
      </c>
      <c r="F19" s="15">
        <f>73+88</f>
        <v>161</v>
      </c>
      <c r="G19" s="15">
        <f>631+1025</f>
        <v>1656</v>
      </c>
      <c r="H19" s="15">
        <v>17</v>
      </c>
      <c r="I19" s="15">
        <f>111+55</f>
        <v>166</v>
      </c>
      <c r="J19" s="16">
        <f>246+208</f>
        <v>454</v>
      </c>
      <c r="K19" s="9">
        <f t="shared" si="4"/>
        <v>2626</v>
      </c>
    </row>
    <row r="20" spans="2:11" x14ac:dyDescent="0.25">
      <c r="B20" s="2" t="s">
        <v>12</v>
      </c>
      <c r="C20" s="15"/>
      <c r="D20" s="15">
        <v>1</v>
      </c>
      <c r="E20" s="15">
        <v>12</v>
      </c>
      <c r="F20" s="15"/>
      <c r="G20" s="15">
        <f>18+24</f>
        <v>42</v>
      </c>
      <c r="H20" s="15"/>
      <c r="I20" s="15"/>
      <c r="J20" s="16">
        <f>5</f>
        <v>5</v>
      </c>
      <c r="K20" s="9">
        <f t="shared" si="4"/>
        <v>60</v>
      </c>
    </row>
    <row r="21" spans="2:11" x14ac:dyDescent="0.25">
      <c r="B21" s="10" t="s">
        <v>8</v>
      </c>
      <c r="C21" s="14">
        <f t="shared" ref="C21:J21" si="5">SUM(C17:C20)</f>
        <v>188</v>
      </c>
      <c r="D21" s="14">
        <f t="shared" si="5"/>
        <v>53</v>
      </c>
      <c r="E21" s="14">
        <f t="shared" si="5"/>
        <v>163</v>
      </c>
      <c r="F21" s="14">
        <f t="shared" si="5"/>
        <v>318</v>
      </c>
      <c r="G21" s="14">
        <f t="shared" si="5"/>
        <v>2011</v>
      </c>
      <c r="H21" s="14">
        <f t="shared" si="5"/>
        <v>34</v>
      </c>
      <c r="I21" s="14">
        <f t="shared" si="5"/>
        <v>405</v>
      </c>
      <c r="J21" s="13">
        <f t="shared" si="5"/>
        <v>660</v>
      </c>
      <c r="K21" s="13">
        <f>SUM(C21:J21)</f>
        <v>3832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f>78+27</f>
        <v>105</v>
      </c>
      <c r="D24" s="15">
        <v>15</v>
      </c>
      <c r="E24" s="15">
        <v>35</v>
      </c>
      <c r="F24" s="15">
        <v>110</v>
      </c>
      <c r="G24" s="15">
        <f>17+83</f>
        <v>100</v>
      </c>
      <c r="H24" s="15">
        <v>26</v>
      </c>
      <c r="I24" s="15">
        <v>201</v>
      </c>
      <c r="J24" s="16">
        <v>100</v>
      </c>
      <c r="K24" s="9">
        <f t="shared" ref="K24:K27" si="6">SUM(C24:J24)</f>
        <v>692</v>
      </c>
    </row>
    <row r="25" spans="2:11" x14ac:dyDescent="0.25">
      <c r="B25" s="2" t="s">
        <v>10</v>
      </c>
      <c r="C25" s="15">
        <f>30+17</f>
        <v>47</v>
      </c>
      <c r="D25" s="15">
        <v>5</v>
      </c>
      <c r="E25" s="15">
        <f>9+17</f>
        <v>26</v>
      </c>
      <c r="F25" s="15">
        <f>68+52</f>
        <v>120</v>
      </c>
      <c r="G25" s="15">
        <f>102+113</f>
        <v>215</v>
      </c>
      <c r="H25" s="15">
        <f>19+4</f>
        <v>23</v>
      </c>
      <c r="I25" s="15">
        <f>51+21</f>
        <v>72</v>
      </c>
      <c r="J25" s="16">
        <f>141+75</f>
        <v>216</v>
      </c>
      <c r="K25" s="9">
        <f t="shared" si="6"/>
        <v>724</v>
      </c>
    </row>
    <row r="26" spans="2:11" x14ac:dyDescent="0.25">
      <c r="B26" s="3" t="s">
        <v>11</v>
      </c>
      <c r="C26" s="15">
        <f>121+47</f>
        <v>168</v>
      </c>
      <c r="D26" s="15">
        <v>26</v>
      </c>
      <c r="E26" s="15">
        <f>36+38</f>
        <v>74</v>
      </c>
      <c r="F26" s="15">
        <f>99+101</f>
        <v>200</v>
      </c>
      <c r="G26" s="15">
        <f>664+975</f>
        <v>1639</v>
      </c>
      <c r="H26" s="15">
        <f>18+14</f>
        <v>32</v>
      </c>
      <c r="I26" s="15">
        <f>137+74</f>
        <v>211</v>
      </c>
      <c r="J26" s="16">
        <f>231+198</f>
        <v>429</v>
      </c>
      <c r="K26" s="9">
        <f t="shared" si="6"/>
        <v>2779</v>
      </c>
    </row>
    <row r="27" spans="2:11" x14ac:dyDescent="0.25">
      <c r="B27" s="2" t="s">
        <v>12</v>
      </c>
      <c r="C27" s="15">
        <f>3+3</f>
        <v>6</v>
      </c>
      <c r="D27" s="15"/>
      <c r="E27" s="15"/>
      <c r="F27" s="15">
        <f>3</f>
        <v>3</v>
      </c>
      <c r="G27" s="15">
        <f>27+3</f>
        <v>30</v>
      </c>
      <c r="H27" s="15"/>
      <c r="I27" s="15"/>
      <c r="J27" s="16">
        <v>1</v>
      </c>
      <c r="K27" s="9">
        <f t="shared" si="6"/>
        <v>40</v>
      </c>
    </row>
    <row r="28" spans="2:11" x14ac:dyDescent="0.25">
      <c r="B28" s="10" t="s">
        <v>8</v>
      </c>
      <c r="C28" s="14">
        <f>SUM(C24:C27)</f>
        <v>326</v>
      </c>
      <c r="D28" s="14">
        <f t="shared" ref="D28:J28" si="7">SUM(D24:D27)</f>
        <v>46</v>
      </c>
      <c r="E28" s="14">
        <f t="shared" si="7"/>
        <v>135</v>
      </c>
      <c r="F28" s="14">
        <f t="shared" si="7"/>
        <v>433</v>
      </c>
      <c r="G28" s="14">
        <f t="shared" si="7"/>
        <v>1984</v>
      </c>
      <c r="H28" s="14">
        <f t="shared" si="7"/>
        <v>81</v>
      </c>
      <c r="I28" s="14">
        <f t="shared" si="7"/>
        <v>484</v>
      </c>
      <c r="J28" s="13">
        <f t="shared" si="7"/>
        <v>746</v>
      </c>
      <c r="K28" s="13">
        <f>SUM(C28:J28)</f>
        <v>4235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0.73404255319148937</v>
      </c>
      <c r="D31" s="17">
        <f t="shared" ref="D31:K31" si="8">IFERROR(-(D21-D28)/D21,"")</f>
        <v>-0.13207547169811321</v>
      </c>
      <c r="E31" s="17">
        <f t="shared" si="8"/>
        <v>-0.17177914110429449</v>
      </c>
      <c r="F31" s="17">
        <f t="shared" si="8"/>
        <v>0.36163522012578614</v>
      </c>
      <c r="G31" s="17">
        <f t="shared" si="8"/>
        <v>-1.3426156141223273E-2</v>
      </c>
      <c r="H31" s="17">
        <f t="shared" si="8"/>
        <v>1.3823529411764706</v>
      </c>
      <c r="I31" s="17">
        <f t="shared" si="8"/>
        <v>0.19506172839506172</v>
      </c>
      <c r="J31" s="18">
        <f t="shared" si="8"/>
        <v>0.13030303030303031</v>
      </c>
      <c r="K31" s="18">
        <f t="shared" si="8"/>
        <v>0.10516701461377871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FF3A-A64F-490B-A2B8-F5C9D9B82454}">
  <dimension ref="A1:U55"/>
  <sheetViews>
    <sheetView showGridLines="0" topLeftCell="A14" workbookViewId="0">
      <selection activeCell="M22" sqref="M22:M24"/>
    </sheetView>
  </sheetViews>
  <sheetFormatPr defaultRowHeight="15" x14ac:dyDescent="0.25"/>
  <cols>
    <col min="2" max="21" width="12.7109375" customWidth="1"/>
  </cols>
  <sheetData>
    <row r="1" spans="1:21" x14ac:dyDescent="0.25">
      <c r="A1" t="s">
        <v>24</v>
      </c>
      <c r="K1" s="1"/>
    </row>
    <row r="2" spans="1:2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21" x14ac:dyDescent="0.25">
      <c r="B3" s="2" t="s">
        <v>9</v>
      </c>
      <c r="C3" s="15">
        <v>177</v>
      </c>
      <c r="D3" s="15">
        <v>68</v>
      </c>
      <c r="E3" s="15">
        <v>4</v>
      </c>
      <c r="F3" s="15">
        <v>224</v>
      </c>
      <c r="G3" s="15">
        <v>22</v>
      </c>
      <c r="H3" s="15">
        <v>6</v>
      </c>
      <c r="I3" s="15">
        <v>172</v>
      </c>
      <c r="J3" s="16">
        <v>128</v>
      </c>
      <c r="K3" s="9">
        <f t="shared" ref="K3:K6" si="0">SUM(C3:J3)</f>
        <v>801</v>
      </c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B4" s="2" t="s">
        <v>10</v>
      </c>
      <c r="C4" s="15">
        <v>271</v>
      </c>
      <c r="D4" s="15">
        <f>1+35</f>
        <v>36</v>
      </c>
      <c r="E4" s="15">
        <v>6</v>
      </c>
      <c r="F4" s="15">
        <v>362</v>
      </c>
      <c r="G4" s="15">
        <v>549</v>
      </c>
      <c r="H4" s="15">
        <v>53</v>
      </c>
      <c r="I4" s="15">
        <v>457</v>
      </c>
      <c r="J4" s="16">
        <v>725</v>
      </c>
      <c r="K4" s="9">
        <f t="shared" si="0"/>
        <v>2459</v>
      </c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3" t="s">
        <v>11</v>
      </c>
      <c r="C5" s="15">
        <f>546+94</f>
        <v>640</v>
      </c>
      <c r="D5" s="15">
        <v>118</v>
      </c>
      <c r="E5" s="15">
        <v>19</v>
      </c>
      <c r="F5" s="15">
        <f>572+52</f>
        <v>624</v>
      </c>
      <c r="G5" s="15">
        <f>2436+721</f>
        <v>3157</v>
      </c>
      <c r="H5" s="15">
        <v>109</v>
      </c>
      <c r="I5" s="15">
        <f>795+89</f>
        <v>884</v>
      </c>
      <c r="J5" s="16">
        <f>1514+180</f>
        <v>1694</v>
      </c>
      <c r="K5" s="9">
        <f t="shared" si="0"/>
        <v>7245</v>
      </c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" t="s">
        <v>12</v>
      </c>
      <c r="C6" s="15">
        <v>5</v>
      </c>
      <c r="D6" s="15">
        <v>1</v>
      </c>
      <c r="E6" s="15"/>
      <c r="F6" s="15">
        <v>3</v>
      </c>
      <c r="G6" s="15">
        <v>66</v>
      </c>
      <c r="H6" s="15">
        <v>4</v>
      </c>
      <c r="I6" s="15">
        <v>13</v>
      </c>
      <c r="J6" s="16">
        <v>10</v>
      </c>
      <c r="K6" s="9">
        <f t="shared" si="0"/>
        <v>102</v>
      </c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B7" s="10" t="s">
        <v>8</v>
      </c>
      <c r="C7" s="14">
        <f t="shared" ref="C7:J7" si="1">SUM(C3:C6)</f>
        <v>1093</v>
      </c>
      <c r="D7" s="14">
        <f t="shared" si="1"/>
        <v>223</v>
      </c>
      <c r="E7" s="14">
        <f t="shared" si="1"/>
        <v>29</v>
      </c>
      <c r="F7" s="14">
        <f t="shared" si="1"/>
        <v>1213</v>
      </c>
      <c r="G7" s="14">
        <f t="shared" si="1"/>
        <v>3794</v>
      </c>
      <c r="H7" s="14">
        <f t="shared" si="1"/>
        <v>172</v>
      </c>
      <c r="I7" s="14">
        <f t="shared" si="1"/>
        <v>1526</v>
      </c>
      <c r="J7" s="13">
        <f t="shared" si="1"/>
        <v>2557</v>
      </c>
      <c r="K7" s="13">
        <f>SUM(C7:J7)</f>
        <v>10607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C8" s="1"/>
      <c r="D8" s="1"/>
      <c r="E8" s="1"/>
      <c r="F8" s="1"/>
      <c r="G8" s="1"/>
      <c r="H8" s="1"/>
      <c r="I8" s="1"/>
      <c r="J8" s="1"/>
    </row>
    <row r="9" spans="1:2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21" x14ac:dyDescent="0.25">
      <c r="B10" s="2" t="s">
        <v>9</v>
      </c>
      <c r="C10" s="15">
        <v>158</v>
      </c>
      <c r="D10" s="15">
        <v>26</v>
      </c>
      <c r="E10" s="15">
        <v>43</v>
      </c>
      <c r="F10" s="15">
        <v>129</v>
      </c>
      <c r="G10" s="15"/>
      <c r="H10" s="15">
        <v>28</v>
      </c>
      <c r="I10" s="15">
        <v>198</v>
      </c>
      <c r="J10" s="16">
        <v>92</v>
      </c>
      <c r="K10" s="9">
        <f t="shared" ref="K10:K13" si="2">SUM(C10:J10)</f>
        <v>674</v>
      </c>
    </row>
    <row r="11" spans="1:21" x14ac:dyDescent="0.25">
      <c r="B11" s="2" t="s">
        <v>10</v>
      </c>
      <c r="C11" s="15">
        <f>136+102</f>
        <v>238</v>
      </c>
      <c r="D11" s="15">
        <v>19</v>
      </c>
      <c r="E11" s="15">
        <f>54+20</f>
        <v>74</v>
      </c>
      <c r="F11" s="15">
        <f>120+167</f>
        <v>287</v>
      </c>
      <c r="G11" s="15">
        <f>177+249</f>
        <v>426</v>
      </c>
      <c r="H11" s="15">
        <f>24+29</f>
        <v>53</v>
      </c>
      <c r="I11" s="15">
        <f>213+105</f>
        <v>318</v>
      </c>
      <c r="J11" s="16">
        <f>355+290</f>
        <v>645</v>
      </c>
      <c r="K11" s="9">
        <f t="shared" si="2"/>
        <v>2060</v>
      </c>
      <c r="M11" s="1"/>
    </row>
    <row r="12" spans="1:21" x14ac:dyDescent="0.25">
      <c r="B12" s="3" t="s">
        <v>11</v>
      </c>
      <c r="C12" s="15">
        <f>282+132+99</f>
        <v>513</v>
      </c>
      <c r="D12" s="15">
        <v>80</v>
      </c>
      <c r="E12" s="15">
        <v>128</v>
      </c>
      <c r="F12" s="15">
        <f>171+306+41</f>
        <v>518</v>
      </c>
      <c r="G12" s="15">
        <f>899+1427+616</f>
        <v>2942</v>
      </c>
      <c r="H12" s="15">
        <v>81</v>
      </c>
      <c r="I12" s="15">
        <f>372+223+64</f>
        <v>659</v>
      </c>
      <c r="J12" s="16">
        <f>693+640+159</f>
        <v>1492</v>
      </c>
      <c r="K12" s="9">
        <f t="shared" si="2"/>
        <v>6413</v>
      </c>
    </row>
    <row r="13" spans="1:21" x14ac:dyDescent="0.25">
      <c r="B13" s="2" t="s">
        <v>12</v>
      </c>
      <c r="C13" s="15">
        <v>4</v>
      </c>
      <c r="D13" s="15"/>
      <c r="E13" s="15"/>
      <c r="F13" s="15">
        <v>2</v>
      </c>
      <c r="G13" s="15">
        <v>46</v>
      </c>
      <c r="H13" s="15">
        <v>3</v>
      </c>
      <c r="I13" s="15">
        <v>5</v>
      </c>
      <c r="J13" s="16">
        <v>13</v>
      </c>
      <c r="K13" s="9">
        <f t="shared" si="2"/>
        <v>73</v>
      </c>
    </row>
    <row r="14" spans="1:21" x14ac:dyDescent="0.25">
      <c r="B14" s="10" t="s">
        <v>8</v>
      </c>
      <c r="C14" s="14">
        <f t="shared" ref="C14:J14" si="3">SUM(C10:C13)</f>
        <v>913</v>
      </c>
      <c r="D14" s="14">
        <f t="shared" si="3"/>
        <v>125</v>
      </c>
      <c r="E14" s="14">
        <f t="shared" si="3"/>
        <v>245</v>
      </c>
      <c r="F14" s="14">
        <f t="shared" si="3"/>
        <v>936</v>
      </c>
      <c r="G14" s="14">
        <f t="shared" si="3"/>
        <v>3414</v>
      </c>
      <c r="H14" s="14">
        <f t="shared" si="3"/>
        <v>165</v>
      </c>
      <c r="I14" s="14">
        <f t="shared" si="3"/>
        <v>1180</v>
      </c>
      <c r="J14" s="13">
        <f t="shared" si="3"/>
        <v>2242</v>
      </c>
      <c r="K14" s="13">
        <f>SUM(C14:J14)</f>
        <v>9220</v>
      </c>
    </row>
    <row r="16" spans="1:2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f>48+122</f>
        <v>170</v>
      </c>
      <c r="D17" s="15">
        <v>25</v>
      </c>
      <c r="E17" s="15">
        <v>80</v>
      </c>
      <c r="F17" s="15">
        <v>126</v>
      </c>
      <c r="G17" s="15">
        <v>9</v>
      </c>
      <c r="H17" s="15">
        <f>49</f>
        <v>49</v>
      </c>
      <c r="I17" s="15">
        <v>274</v>
      </c>
      <c r="J17" s="16">
        <v>95</v>
      </c>
      <c r="K17" s="9">
        <f t="shared" ref="K17:K20" si="4">SUM(C17:J17)</f>
        <v>828</v>
      </c>
    </row>
    <row r="18" spans="2:11" x14ac:dyDescent="0.25">
      <c r="B18" s="2" t="s">
        <v>10</v>
      </c>
      <c r="C18" s="15">
        <f>123+78</f>
        <v>201</v>
      </c>
      <c r="D18" s="15">
        <v>39</v>
      </c>
      <c r="E18" s="15">
        <f>72+65</f>
        <v>137</v>
      </c>
      <c r="F18" s="15">
        <f>123+130</f>
        <v>253</v>
      </c>
      <c r="G18" s="15">
        <f>306+278</f>
        <v>584</v>
      </c>
      <c r="H18" s="15">
        <f>55+20</f>
        <v>75</v>
      </c>
      <c r="I18" s="15">
        <f>222+118</f>
        <v>340</v>
      </c>
      <c r="J18" s="16">
        <f>331+281</f>
        <v>612</v>
      </c>
      <c r="K18" s="9">
        <f t="shared" si="4"/>
        <v>2241</v>
      </c>
    </row>
    <row r="19" spans="2:11" x14ac:dyDescent="0.25">
      <c r="B19" s="3" t="s">
        <v>11</v>
      </c>
      <c r="C19" s="15">
        <f>243+149</f>
        <v>392</v>
      </c>
      <c r="D19" s="15">
        <v>72</v>
      </c>
      <c r="E19" s="15">
        <f>48+94</f>
        <v>142</v>
      </c>
      <c r="F19" s="15">
        <f>210+268</f>
        <v>478</v>
      </c>
      <c r="G19" s="15">
        <f>1161+1676</f>
        <v>2837</v>
      </c>
      <c r="H19" s="15">
        <f>39+47</f>
        <v>86</v>
      </c>
      <c r="I19" s="15">
        <f>393+226</f>
        <v>619</v>
      </c>
      <c r="J19" s="16">
        <f>778+596</f>
        <v>1374</v>
      </c>
      <c r="K19" s="9">
        <f t="shared" si="4"/>
        <v>6000</v>
      </c>
    </row>
    <row r="20" spans="2:11" x14ac:dyDescent="0.25">
      <c r="B20" s="2" t="s">
        <v>12</v>
      </c>
      <c r="C20" s="15">
        <f>1</f>
        <v>1</v>
      </c>
      <c r="D20" s="15"/>
      <c r="E20" s="15"/>
      <c r="F20" s="15">
        <f>4</f>
        <v>4</v>
      </c>
      <c r="G20" s="15">
        <f>52+18</f>
        <v>70</v>
      </c>
      <c r="H20" s="15"/>
      <c r="I20" s="15">
        <f>3</f>
        <v>3</v>
      </c>
      <c r="J20" s="16">
        <f>4+9</f>
        <v>13</v>
      </c>
      <c r="K20" s="9">
        <f t="shared" si="4"/>
        <v>91</v>
      </c>
    </row>
    <row r="21" spans="2:11" x14ac:dyDescent="0.25">
      <c r="B21" s="10" t="s">
        <v>8</v>
      </c>
      <c r="C21" s="14">
        <f t="shared" ref="C21:J21" si="5">SUM(C17:C20)</f>
        <v>764</v>
      </c>
      <c r="D21" s="14">
        <f t="shared" si="5"/>
        <v>136</v>
      </c>
      <c r="E21" s="14">
        <f t="shared" si="5"/>
        <v>359</v>
      </c>
      <c r="F21" s="14">
        <f t="shared" si="5"/>
        <v>861</v>
      </c>
      <c r="G21" s="14">
        <f t="shared" si="5"/>
        <v>3500</v>
      </c>
      <c r="H21" s="14">
        <f t="shared" si="5"/>
        <v>210</v>
      </c>
      <c r="I21" s="14">
        <f t="shared" si="5"/>
        <v>1236</v>
      </c>
      <c r="J21" s="13">
        <f t="shared" si="5"/>
        <v>2094</v>
      </c>
      <c r="K21" s="13">
        <f>SUM(C21:J21)</f>
        <v>9160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f>180+39</f>
        <v>219</v>
      </c>
      <c r="D24" s="15">
        <v>27</v>
      </c>
      <c r="E24" s="15">
        <v>94</v>
      </c>
      <c r="F24" s="15">
        <f>187</f>
        <v>187</v>
      </c>
      <c r="G24" s="15">
        <f>18+288</f>
        <v>306</v>
      </c>
      <c r="H24" s="15">
        <v>42</v>
      </c>
      <c r="I24" s="15">
        <v>290</v>
      </c>
      <c r="J24" s="16">
        <v>130</v>
      </c>
      <c r="K24" s="9">
        <f t="shared" ref="K24:K27" si="6">SUM(C24:J24)</f>
        <v>1295</v>
      </c>
    </row>
    <row r="25" spans="2:11" x14ac:dyDescent="0.25">
      <c r="B25" s="2" t="s">
        <v>10</v>
      </c>
      <c r="C25" s="15">
        <f>187+95</f>
        <v>282</v>
      </c>
      <c r="D25" s="15">
        <v>53</v>
      </c>
      <c r="E25" s="15">
        <f>63+42</f>
        <v>105</v>
      </c>
      <c r="F25" s="15">
        <f>151+142</f>
        <v>293</v>
      </c>
      <c r="G25" s="15">
        <f>409+281</f>
        <v>690</v>
      </c>
      <c r="H25" s="15">
        <f>33+38</f>
        <v>71</v>
      </c>
      <c r="I25" s="15">
        <f>276+109</f>
        <v>385</v>
      </c>
      <c r="J25" s="16">
        <f>505+335</f>
        <v>840</v>
      </c>
      <c r="K25" s="9">
        <f t="shared" si="6"/>
        <v>2719</v>
      </c>
    </row>
    <row r="26" spans="2:11" x14ac:dyDescent="0.25">
      <c r="B26" s="3" t="s">
        <v>11</v>
      </c>
      <c r="C26" s="15">
        <f>360+177</f>
        <v>537</v>
      </c>
      <c r="D26" s="15">
        <v>77</v>
      </c>
      <c r="E26" s="15">
        <f>60+87</f>
        <v>147</v>
      </c>
      <c r="F26" s="15">
        <f>198+284</f>
        <v>482</v>
      </c>
      <c r="G26" s="15">
        <f>1190+1760</f>
        <v>2950</v>
      </c>
      <c r="H26" s="15">
        <f>24+54</f>
        <v>78</v>
      </c>
      <c r="I26" s="15">
        <f>549+228</f>
        <v>777</v>
      </c>
      <c r="J26" s="16">
        <f>1012+655</f>
        <v>1667</v>
      </c>
      <c r="K26" s="9">
        <f t="shared" si="6"/>
        <v>6715</v>
      </c>
    </row>
    <row r="27" spans="2:11" x14ac:dyDescent="0.25">
      <c r="B27" s="2" t="s">
        <v>12</v>
      </c>
      <c r="C27" s="15">
        <f>1+3</f>
        <v>4</v>
      </c>
      <c r="D27" s="15"/>
      <c r="E27" s="15"/>
      <c r="F27" s="15">
        <v>6</v>
      </c>
      <c r="G27" s="15">
        <f>50+33</f>
        <v>83</v>
      </c>
      <c r="H27" s="15">
        <f>3</f>
        <v>3</v>
      </c>
      <c r="I27" s="15">
        <f>1</f>
        <v>1</v>
      </c>
      <c r="J27" s="16">
        <f>5+9</f>
        <v>14</v>
      </c>
      <c r="K27" s="9">
        <f t="shared" si="6"/>
        <v>111</v>
      </c>
    </row>
    <row r="28" spans="2:11" x14ac:dyDescent="0.25">
      <c r="B28" s="10" t="s">
        <v>8</v>
      </c>
      <c r="C28" s="14">
        <f t="shared" ref="C28:J28" si="7">SUM(C24:C27)</f>
        <v>1042</v>
      </c>
      <c r="D28" s="14">
        <f t="shared" si="7"/>
        <v>157</v>
      </c>
      <c r="E28" s="14">
        <f t="shared" si="7"/>
        <v>346</v>
      </c>
      <c r="F28" s="14">
        <f t="shared" si="7"/>
        <v>968</v>
      </c>
      <c r="G28" s="14">
        <f t="shared" si="7"/>
        <v>4029</v>
      </c>
      <c r="H28" s="14">
        <f t="shared" si="7"/>
        <v>194</v>
      </c>
      <c r="I28" s="14">
        <f t="shared" si="7"/>
        <v>1453</v>
      </c>
      <c r="J28" s="13">
        <f t="shared" si="7"/>
        <v>2651</v>
      </c>
      <c r="K28" s="13">
        <f>SUM(C28:J28)</f>
        <v>10840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0.36387434554973824</v>
      </c>
      <c r="D31" s="17">
        <f t="shared" ref="D31:K31" si="8">IFERROR(-(D21-D28)/D21,"")</f>
        <v>0.15441176470588236</v>
      </c>
      <c r="E31" s="17">
        <f t="shared" si="8"/>
        <v>-3.6211699164345405E-2</v>
      </c>
      <c r="F31" s="17">
        <f t="shared" si="8"/>
        <v>0.12427409988385599</v>
      </c>
      <c r="G31" s="17">
        <f t="shared" si="8"/>
        <v>0.15114285714285713</v>
      </c>
      <c r="H31" s="17">
        <f t="shared" si="8"/>
        <v>-7.6190476190476197E-2</v>
      </c>
      <c r="I31" s="17">
        <f t="shared" si="8"/>
        <v>0.17556634304207119</v>
      </c>
      <c r="J31" s="18">
        <f t="shared" si="8"/>
        <v>0.26599808978032474</v>
      </c>
      <c r="K31" s="18">
        <f t="shared" si="8"/>
        <v>0.18340611353711792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FFB6-D3A7-49CD-85E9-8F6866FAF7A5}">
  <dimension ref="A1:U55"/>
  <sheetViews>
    <sheetView showGridLines="0" topLeftCell="A13" zoomScaleNormal="100" workbookViewId="0">
      <selection activeCell="M24" sqref="M24"/>
    </sheetView>
  </sheetViews>
  <sheetFormatPr defaultRowHeight="15" x14ac:dyDescent="0.25"/>
  <cols>
    <col min="2" max="21" width="12.7109375" customWidth="1"/>
  </cols>
  <sheetData>
    <row r="1" spans="1:21" x14ac:dyDescent="0.25">
      <c r="A1" t="s">
        <v>25</v>
      </c>
      <c r="K1" s="1"/>
    </row>
    <row r="2" spans="1:21" x14ac:dyDescent="0.25">
      <c r="B2" s="5">
        <v>2022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</row>
    <row r="3" spans="1:21" x14ac:dyDescent="0.25">
      <c r="B3" s="2" t="s">
        <v>9</v>
      </c>
      <c r="C3" s="15">
        <v>146</v>
      </c>
      <c r="D3" s="15">
        <v>32</v>
      </c>
      <c r="E3" s="15">
        <v>5</v>
      </c>
      <c r="F3" s="15">
        <v>237</v>
      </c>
      <c r="G3" s="15">
        <v>1</v>
      </c>
      <c r="H3" s="15">
        <v>17</v>
      </c>
      <c r="I3" s="15">
        <v>158</v>
      </c>
      <c r="J3" s="16">
        <v>63</v>
      </c>
      <c r="K3" s="9">
        <f t="shared" ref="K3:K6" si="0">SUM(C3:J3)</f>
        <v>659</v>
      </c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B4" s="2" t="s">
        <v>10</v>
      </c>
      <c r="C4" s="15">
        <v>91</v>
      </c>
      <c r="D4" s="15">
        <v>26</v>
      </c>
      <c r="E4" s="15"/>
      <c r="F4" s="15">
        <v>198</v>
      </c>
      <c r="G4" s="15">
        <v>324</v>
      </c>
      <c r="H4" s="15">
        <v>20</v>
      </c>
      <c r="I4" s="15">
        <v>136</v>
      </c>
      <c r="J4" s="16">
        <v>224</v>
      </c>
      <c r="K4" s="9">
        <f t="shared" si="0"/>
        <v>1019</v>
      </c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3" t="s">
        <v>11</v>
      </c>
      <c r="C5" s="15">
        <v>239</v>
      </c>
      <c r="D5" s="15">
        <v>43</v>
      </c>
      <c r="E5" s="15">
        <v>1</v>
      </c>
      <c r="F5" s="15">
        <v>237</v>
      </c>
      <c r="G5" s="15">
        <f>1556+481</f>
        <v>2037</v>
      </c>
      <c r="H5" s="15">
        <v>23</v>
      </c>
      <c r="I5" s="15">
        <v>262</v>
      </c>
      <c r="J5" s="16">
        <f>447+68</f>
        <v>515</v>
      </c>
      <c r="K5" s="9">
        <f t="shared" si="0"/>
        <v>3357</v>
      </c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" t="s">
        <v>12</v>
      </c>
      <c r="C6" s="15">
        <v>12</v>
      </c>
      <c r="D6" s="15"/>
      <c r="E6" s="15"/>
      <c r="F6" s="15">
        <v>3</v>
      </c>
      <c r="G6" s="15">
        <v>67</v>
      </c>
      <c r="H6" s="15"/>
      <c r="I6" s="15">
        <v>1</v>
      </c>
      <c r="J6" s="16">
        <v>2</v>
      </c>
      <c r="K6" s="9">
        <f t="shared" si="0"/>
        <v>85</v>
      </c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B7" s="10" t="s">
        <v>8</v>
      </c>
      <c r="C7" s="14">
        <f t="shared" ref="C7:J7" si="1">SUM(C3:C6)</f>
        <v>488</v>
      </c>
      <c r="D7" s="14">
        <f t="shared" si="1"/>
        <v>101</v>
      </c>
      <c r="E7" s="14">
        <f t="shared" si="1"/>
        <v>6</v>
      </c>
      <c r="F7" s="14">
        <f t="shared" si="1"/>
        <v>675</v>
      </c>
      <c r="G7" s="14">
        <f t="shared" si="1"/>
        <v>2429</v>
      </c>
      <c r="H7" s="14">
        <f t="shared" si="1"/>
        <v>60</v>
      </c>
      <c r="I7" s="14">
        <f t="shared" si="1"/>
        <v>557</v>
      </c>
      <c r="J7" s="13">
        <f t="shared" si="1"/>
        <v>804</v>
      </c>
      <c r="K7" s="13">
        <f>SUM(C7:J7)</f>
        <v>5120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C8" s="1"/>
      <c r="D8" s="1"/>
      <c r="E8" s="1"/>
      <c r="F8" s="1"/>
      <c r="G8" s="1"/>
      <c r="H8" s="1"/>
      <c r="I8" s="1"/>
      <c r="J8" s="1"/>
    </row>
    <row r="9" spans="1:21" x14ac:dyDescent="0.25">
      <c r="B9" s="5">
        <v>2023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3" t="s">
        <v>7</v>
      </c>
      <c r="K9" s="7" t="s">
        <v>8</v>
      </c>
    </row>
    <row r="10" spans="1:21" x14ac:dyDescent="0.25">
      <c r="B10" s="2" t="s">
        <v>9</v>
      </c>
      <c r="C10" s="15">
        <v>110</v>
      </c>
      <c r="D10" s="15">
        <v>24</v>
      </c>
      <c r="E10" s="15">
        <v>81</v>
      </c>
      <c r="F10" s="15">
        <v>99</v>
      </c>
      <c r="G10" s="15"/>
      <c r="H10" s="15">
        <v>22</v>
      </c>
      <c r="I10" s="15">
        <v>215</v>
      </c>
      <c r="J10" s="16">
        <v>39</v>
      </c>
      <c r="K10" s="9">
        <f t="shared" ref="K10:K13" si="2">SUM(C10:J10)</f>
        <v>590</v>
      </c>
    </row>
    <row r="11" spans="1:21" x14ac:dyDescent="0.25">
      <c r="B11" s="2" t="s">
        <v>10</v>
      </c>
      <c r="C11" s="15">
        <f>41+72</f>
        <v>113</v>
      </c>
      <c r="D11" s="15">
        <v>6</v>
      </c>
      <c r="E11" s="15">
        <f>30+18</f>
        <v>48</v>
      </c>
      <c r="F11" s="15">
        <f>51+64</f>
        <v>115</v>
      </c>
      <c r="G11" s="15">
        <f>183+212</f>
        <v>395</v>
      </c>
      <c r="H11" s="15">
        <f>26</f>
        <v>26</v>
      </c>
      <c r="I11" s="15">
        <f>45+32</f>
        <v>77</v>
      </c>
      <c r="J11" s="16">
        <f>126+153</f>
        <v>279</v>
      </c>
      <c r="K11" s="9">
        <f t="shared" si="2"/>
        <v>1059</v>
      </c>
      <c r="M11" s="1"/>
    </row>
    <row r="12" spans="1:21" x14ac:dyDescent="0.25">
      <c r="B12" s="3" t="s">
        <v>26</v>
      </c>
      <c r="C12" s="15">
        <f>144+44+23</f>
        <v>211</v>
      </c>
      <c r="D12" s="15">
        <v>18</v>
      </c>
      <c r="E12" s="15">
        <v>95</v>
      </c>
      <c r="F12" s="15">
        <v>213</v>
      </c>
      <c r="G12" s="15">
        <f>597+1088+395</f>
        <v>2080</v>
      </c>
      <c r="H12" s="15">
        <v>51</v>
      </c>
      <c r="I12" s="15">
        <v>250</v>
      </c>
      <c r="J12" s="16">
        <f>252+289+67</f>
        <v>608</v>
      </c>
      <c r="K12" s="9">
        <f t="shared" si="2"/>
        <v>3526</v>
      </c>
    </row>
    <row r="13" spans="1:21" x14ac:dyDescent="0.25">
      <c r="B13" s="2" t="s">
        <v>27</v>
      </c>
      <c r="C13" s="15">
        <v>4</v>
      </c>
      <c r="D13" s="15"/>
      <c r="E13" s="15"/>
      <c r="F13" s="15">
        <v>3</v>
      </c>
      <c r="G13" s="15">
        <f>42+25+6</f>
        <v>73</v>
      </c>
      <c r="H13" s="15">
        <v>1</v>
      </c>
      <c r="I13" s="15">
        <v>2</v>
      </c>
      <c r="J13" s="16">
        <v>4</v>
      </c>
      <c r="K13" s="9">
        <f t="shared" si="2"/>
        <v>87</v>
      </c>
    </row>
    <row r="14" spans="1:21" x14ac:dyDescent="0.25">
      <c r="B14" s="10" t="s">
        <v>8</v>
      </c>
      <c r="C14" s="14">
        <f>SUM(C10:C13)</f>
        <v>438</v>
      </c>
      <c r="D14" s="14">
        <f t="shared" ref="D14:J14" si="3">SUM(D10:D13)</f>
        <v>48</v>
      </c>
      <c r="E14" s="14">
        <f t="shared" si="3"/>
        <v>224</v>
      </c>
      <c r="F14" s="14">
        <f t="shared" si="3"/>
        <v>430</v>
      </c>
      <c r="G14" s="14">
        <f t="shared" si="3"/>
        <v>2548</v>
      </c>
      <c r="H14" s="14">
        <f t="shared" si="3"/>
        <v>100</v>
      </c>
      <c r="I14" s="14">
        <f t="shared" si="3"/>
        <v>544</v>
      </c>
      <c r="J14" s="13">
        <f t="shared" si="3"/>
        <v>930</v>
      </c>
      <c r="K14" s="13">
        <f>SUM(C14:J14)</f>
        <v>5262</v>
      </c>
    </row>
    <row r="16" spans="1:21" x14ac:dyDescent="0.25">
      <c r="B16" s="5">
        <v>2024</v>
      </c>
      <c r="C16" s="14" t="s">
        <v>0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J16" s="13" t="s">
        <v>7</v>
      </c>
      <c r="K16" s="7" t="s">
        <v>8</v>
      </c>
    </row>
    <row r="17" spans="2:11" x14ac:dyDescent="0.25">
      <c r="B17" s="2" t="s">
        <v>9</v>
      </c>
      <c r="C17" s="15">
        <f>127+36</f>
        <v>163</v>
      </c>
      <c r="D17" s="15">
        <v>18</v>
      </c>
      <c r="E17" s="15">
        <v>69</v>
      </c>
      <c r="F17" s="15">
        <v>109</v>
      </c>
      <c r="G17" s="15">
        <v>10</v>
      </c>
      <c r="H17" s="15">
        <v>29</v>
      </c>
      <c r="I17" s="15">
        <v>283</v>
      </c>
      <c r="J17" s="16">
        <v>82</v>
      </c>
      <c r="K17" s="9">
        <f t="shared" ref="K17:K20" si="4">SUM(C17:J17)</f>
        <v>763</v>
      </c>
    </row>
    <row r="18" spans="2:11" x14ac:dyDescent="0.25">
      <c r="B18" s="2" t="s">
        <v>10</v>
      </c>
      <c r="C18" s="15">
        <f>33+20</f>
        <v>53</v>
      </c>
      <c r="D18" s="15">
        <v>10</v>
      </c>
      <c r="E18" s="15">
        <f>30+37</f>
        <v>67</v>
      </c>
      <c r="F18" s="15">
        <f>78+42</f>
        <v>120</v>
      </c>
      <c r="G18" s="15">
        <f>276+239</f>
        <v>515</v>
      </c>
      <c r="H18" s="15">
        <f>6+8</f>
        <v>14</v>
      </c>
      <c r="I18" s="15">
        <f>78+61</f>
        <v>139</v>
      </c>
      <c r="J18" s="16">
        <f>180+155</f>
        <v>335</v>
      </c>
      <c r="K18" s="9">
        <f t="shared" si="4"/>
        <v>1253</v>
      </c>
    </row>
    <row r="19" spans="2:11" x14ac:dyDescent="0.25">
      <c r="B19" s="3" t="s">
        <v>11</v>
      </c>
      <c r="C19" s="15">
        <f>114+99</f>
        <v>213</v>
      </c>
      <c r="D19" s="15">
        <v>57</v>
      </c>
      <c r="E19" s="15">
        <f>80+66</f>
        <v>146</v>
      </c>
      <c r="F19" s="15">
        <f>96+175</f>
        <v>271</v>
      </c>
      <c r="G19" s="15">
        <f>902+1383</f>
        <v>2285</v>
      </c>
      <c r="H19" s="15">
        <f>15+31</f>
        <v>46</v>
      </c>
      <c r="I19" s="15">
        <f>165+115</f>
        <v>280</v>
      </c>
      <c r="J19" s="16">
        <f>320+303</f>
        <v>623</v>
      </c>
      <c r="K19" s="9">
        <f t="shared" si="4"/>
        <v>3921</v>
      </c>
    </row>
    <row r="20" spans="2:11" x14ac:dyDescent="0.25">
      <c r="B20" s="2" t="s">
        <v>12</v>
      </c>
      <c r="C20" s="15">
        <f>3+3</f>
        <v>6</v>
      </c>
      <c r="D20" s="15"/>
      <c r="E20" s="15"/>
      <c r="F20" s="15">
        <v>1</v>
      </c>
      <c r="G20" s="15">
        <f>50+18</f>
        <v>68</v>
      </c>
      <c r="H20" s="15"/>
      <c r="I20" s="15">
        <v>3</v>
      </c>
      <c r="J20" s="16">
        <f>17+6</f>
        <v>23</v>
      </c>
      <c r="K20" s="9">
        <f t="shared" si="4"/>
        <v>101</v>
      </c>
    </row>
    <row r="21" spans="2:11" x14ac:dyDescent="0.25">
      <c r="B21" s="10" t="s">
        <v>8</v>
      </c>
      <c r="C21" s="14">
        <f>SUM(C17:C20)</f>
        <v>435</v>
      </c>
      <c r="D21" s="14">
        <f t="shared" ref="D21:J21" si="5">SUM(D17:D20)</f>
        <v>85</v>
      </c>
      <c r="E21" s="14">
        <f t="shared" si="5"/>
        <v>282</v>
      </c>
      <c r="F21" s="14">
        <f t="shared" si="5"/>
        <v>501</v>
      </c>
      <c r="G21" s="14">
        <f t="shared" si="5"/>
        <v>2878</v>
      </c>
      <c r="H21" s="14">
        <f t="shared" si="5"/>
        <v>89</v>
      </c>
      <c r="I21" s="14">
        <f t="shared" si="5"/>
        <v>705</v>
      </c>
      <c r="J21" s="13">
        <f t="shared" si="5"/>
        <v>1063</v>
      </c>
      <c r="K21" s="13">
        <f>SUM(C21:J21)</f>
        <v>6038</v>
      </c>
    </row>
    <row r="23" spans="2:11" x14ac:dyDescent="0.25">
      <c r="B23" s="5">
        <v>2025</v>
      </c>
      <c r="C23" s="14" t="s">
        <v>0</v>
      </c>
      <c r="D23" s="14" t="s">
        <v>1</v>
      </c>
      <c r="E23" s="14" t="s">
        <v>2</v>
      </c>
      <c r="F23" s="14" t="s">
        <v>3</v>
      </c>
      <c r="G23" s="14" t="s">
        <v>4</v>
      </c>
      <c r="H23" s="14" t="s">
        <v>5</v>
      </c>
      <c r="I23" s="14" t="s">
        <v>6</v>
      </c>
      <c r="J23" s="13" t="s">
        <v>7</v>
      </c>
      <c r="K23" s="7" t="s">
        <v>8</v>
      </c>
    </row>
    <row r="24" spans="2:11" x14ac:dyDescent="0.25">
      <c r="B24" s="2" t="s">
        <v>9</v>
      </c>
      <c r="C24" s="15">
        <f>155+39</f>
        <v>194</v>
      </c>
      <c r="D24" s="15">
        <f>26</f>
        <v>26</v>
      </c>
      <c r="E24" s="15">
        <v>58</v>
      </c>
      <c r="F24" s="15">
        <v>179</v>
      </c>
      <c r="G24" s="15">
        <f>14+340</f>
        <v>354</v>
      </c>
      <c r="H24" s="15">
        <v>37</v>
      </c>
      <c r="I24" s="15">
        <v>320</v>
      </c>
      <c r="J24" s="16">
        <f>53+118</f>
        <v>171</v>
      </c>
      <c r="K24" s="9">
        <f t="shared" ref="K24:K27" si="6">SUM(C24:J24)</f>
        <v>1339</v>
      </c>
    </row>
    <row r="25" spans="2:11" x14ac:dyDescent="0.25">
      <c r="B25" s="2" t="s">
        <v>10</v>
      </c>
      <c r="C25" s="15">
        <f>75+40</f>
        <v>115</v>
      </c>
      <c r="D25" s="15">
        <f>20</f>
        <v>20</v>
      </c>
      <c r="E25" s="15">
        <f>18+22</f>
        <v>40</v>
      </c>
      <c r="F25" s="15">
        <f>75+90</f>
        <v>165</v>
      </c>
      <c r="G25" s="15">
        <f>242+282</f>
        <v>524</v>
      </c>
      <c r="H25" s="15">
        <f>6+9</f>
        <v>15</v>
      </c>
      <c r="I25" s="15">
        <f>120+52</f>
        <v>172</v>
      </c>
      <c r="J25" s="16">
        <f>162+175</f>
        <v>337</v>
      </c>
      <c r="K25" s="9">
        <f t="shared" si="6"/>
        <v>1388</v>
      </c>
    </row>
    <row r="26" spans="2:11" x14ac:dyDescent="0.25">
      <c r="B26" s="3" t="s">
        <v>11</v>
      </c>
      <c r="C26" s="15">
        <f>180+111</f>
        <v>291</v>
      </c>
      <c r="D26" s="15">
        <f>48</f>
        <v>48</v>
      </c>
      <c r="E26" s="15">
        <f>39+48</f>
        <v>87</v>
      </c>
      <c r="F26" s="15">
        <f>147+160</f>
        <v>307</v>
      </c>
      <c r="G26" s="15">
        <f>940+1514</f>
        <v>2454</v>
      </c>
      <c r="H26" s="15">
        <f>12+39</f>
        <v>51</v>
      </c>
      <c r="I26" s="15">
        <f>200+113</f>
        <v>313</v>
      </c>
      <c r="J26" s="16">
        <f>460+416</f>
        <v>876</v>
      </c>
      <c r="K26" s="9">
        <f t="shared" si="6"/>
        <v>4427</v>
      </c>
    </row>
    <row r="27" spans="2:11" x14ac:dyDescent="0.25">
      <c r="B27" s="2" t="s">
        <v>12</v>
      </c>
      <c r="C27" s="15"/>
      <c r="D27" s="15">
        <v>1</v>
      </c>
      <c r="E27" s="15">
        <f>1</f>
        <v>1</v>
      </c>
      <c r="F27" s="15"/>
      <c r="G27" s="15">
        <f>49+30</f>
        <v>79</v>
      </c>
      <c r="H27" s="15"/>
      <c r="I27" s="15">
        <f>2</f>
        <v>2</v>
      </c>
      <c r="J27" s="16">
        <f>3+1</f>
        <v>4</v>
      </c>
      <c r="K27" s="9">
        <f t="shared" si="6"/>
        <v>87</v>
      </c>
    </row>
    <row r="28" spans="2:11" x14ac:dyDescent="0.25">
      <c r="B28" s="10" t="s">
        <v>8</v>
      </c>
      <c r="C28" s="14">
        <f t="shared" ref="C28:J28" si="7">SUM(C24:C27)</f>
        <v>600</v>
      </c>
      <c r="D28" s="14">
        <f t="shared" si="7"/>
        <v>95</v>
      </c>
      <c r="E28" s="14">
        <f t="shared" si="7"/>
        <v>186</v>
      </c>
      <c r="F28" s="14">
        <f t="shared" si="7"/>
        <v>651</v>
      </c>
      <c r="G28" s="14">
        <f t="shared" si="7"/>
        <v>3411</v>
      </c>
      <c r="H28" s="14">
        <f t="shared" si="7"/>
        <v>103</v>
      </c>
      <c r="I28" s="14">
        <f t="shared" si="7"/>
        <v>807</v>
      </c>
      <c r="J28" s="13">
        <f t="shared" si="7"/>
        <v>1388</v>
      </c>
      <c r="K28" s="13">
        <f>SUM(C28:J28)</f>
        <v>7241</v>
      </c>
    </row>
    <row r="30" spans="2:11" x14ac:dyDescent="0.25">
      <c r="B30" s="5" t="s">
        <v>13</v>
      </c>
      <c r="C30" s="20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  <c r="K30" s="7" t="s">
        <v>8</v>
      </c>
    </row>
    <row r="31" spans="2:11" x14ac:dyDescent="0.25">
      <c r="B31" s="4" t="s">
        <v>14</v>
      </c>
      <c r="C31" s="19">
        <f>IFERROR(-(C21-C28)/C21,"")</f>
        <v>0.37931034482758619</v>
      </c>
      <c r="D31" s="17">
        <f t="shared" ref="D31:K31" si="8">IFERROR(-(D21-D28)/D21,"")</f>
        <v>0.11764705882352941</v>
      </c>
      <c r="E31" s="17">
        <f t="shared" si="8"/>
        <v>-0.34042553191489361</v>
      </c>
      <c r="F31" s="17">
        <f t="shared" si="8"/>
        <v>0.29940119760479039</v>
      </c>
      <c r="G31" s="17">
        <f t="shared" si="8"/>
        <v>0.18519805420430854</v>
      </c>
      <c r="H31" s="17">
        <f t="shared" si="8"/>
        <v>0.15730337078651685</v>
      </c>
      <c r="I31" s="17">
        <f t="shared" si="8"/>
        <v>0.14468085106382977</v>
      </c>
      <c r="J31" s="18">
        <f t="shared" si="8"/>
        <v>0.30573847601128878</v>
      </c>
      <c r="K31" s="18">
        <f t="shared" si="8"/>
        <v>0.19923815833057304</v>
      </c>
    </row>
    <row r="51" spans="1:11" x14ac:dyDescent="0.25">
      <c r="A51" t="s">
        <v>16</v>
      </c>
    </row>
    <row r="52" spans="1:11" x14ac:dyDescent="0.25">
      <c r="A52" t="s">
        <v>17</v>
      </c>
    </row>
    <row r="54" spans="1:11" x14ac:dyDescent="0.25">
      <c r="B54" s="5"/>
      <c r="C54" s="6" t="s">
        <v>0</v>
      </c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7" t="s">
        <v>7</v>
      </c>
      <c r="K54" s="7" t="s">
        <v>8</v>
      </c>
    </row>
    <row r="55" spans="1:11" x14ac:dyDescent="0.25">
      <c r="B55" s="10" t="s">
        <v>15</v>
      </c>
      <c r="C55" s="11">
        <v>394</v>
      </c>
      <c r="D55" s="11">
        <v>89</v>
      </c>
      <c r="E55" s="11">
        <v>78</v>
      </c>
      <c r="F55" s="11">
        <v>312</v>
      </c>
      <c r="G55" s="11">
        <v>175</v>
      </c>
      <c r="H55" s="11">
        <v>144</v>
      </c>
      <c r="I55" s="11">
        <v>199</v>
      </c>
      <c r="J55" s="12">
        <v>354</v>
      </c>
      <c r="K55" s="13">
        <f t="shared" ref="K55" si="9">SUM(C55:J55)</f>
        <v>1745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1</vt:i4>
      </vt:variant>
    </vt:vector>
  </HeadingPairs>
  <TitlesOfParts>
    <vt:vector size="15" baseType="lpstr">
      <vt:lpstr>Samlet</vt:lpstr>
      <vt:lpstr>Januar</vt:lpstr>
      <vt:lpstr>Februar</vt:lpstr>
      <vt:lpstr>Marts</vt:lpstr>
      <vt:lpstr>April</vt:lpstr>
      <vt:lpstr>Maj</vt:lpstr>
      <vt:lpstr>Juni</vt:lpstr>
      <vt:lpstr>Juli</vt:lpstr>
      <vt:lpstr>August</vt:lpstr>
      <vt:lpstr>September</vt:lpstr>
      <vt:lpstr>Oktober</vt:lpstr>
      <vt:lpstr>November</vt:lpstr>
      <vt:lpstr>December</vt:lpstr>
      <vt:lpstr>Version 2.0</vt:lpstr>
      <vt:lpstr>Samlet!Udskriftsområde</vt:lpstr>
    </vt:vector>
  </TitlesOfParts>
  <Manager/>
  <Company>Vordingborg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Wede Lohse</dc:creator>
  <cp:keywords/>
  <dc:description/>
  <cp:lastModifiedBy>Simon Wede Lohse</cp:lastModifiedBy>
  <cp:revision/>
  <dcterms:created xsi:type="dcterms:W3CDTF">2023-06-12T19:06:18Z</dcterms:created>
  <dcterms:modified xsi:type="dcterms:W3CDTF">2025-11-04T12:37:32Z</dcterms:modified>
  <cp:category/>
  <cp:contentStatus/>
</cp:coreProperties>
</file>